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7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8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0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1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12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3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hysics\Radioisotope\Users\Bruno\External\IDUG\IDUG workshops and conferences\2024 IDUG BNMS\2024 BR Wholebody Dosimetry\"/>
    </mc:Choice>
  </mc:AlternateContent>
  <xr:revisionPtr revIDLastSave="0" documentId="13_ncr:1_{70D9CC15-792A-4A54-BD18-A6979CB5BE20}" xr6:coauthVersionLast="47" xr6:coauthVersionMax="47" xr10:uidLastSave="{00000000-0000-0000-0000-000000000000}"/>
  <bookViews>
    <workbookView xWindow="-28920" yWindow="-120" windowWidth="29040" windowHeight="15840" tabRatio="809" xr2:uid="{00000000-000D-0000-FFFF-FFFF00000000}"/>
  </bookViews>
  <sheets>
    <sheet name="Case 1 - full" sheetId="1" r:id="rId1"/>
    <sheet name="Case 1 - 24 hour sampling" sheetId="6" r:id="rId2"/>
    <sheet name="Case 1 - Fit Comparsions" sheetId="10" r:id="rId3"/>
    <sheet name="Case 2 - full " sheetId="8" r:id="rId4"/>
    <sheet name="Case 2 - 24 hours" sheetId="9" r:id="rId5"/>
    <sheet name="Case 2 - Fit Comparsions" sheetId="13" r:id="rId6"/>
    <sheet name="Case 3 - full " sheetId="11" r:id="rId7"/>
    <sheet name="Case 3 - 24 hour" sheetId="12" r:id="rId8"/>
    <sheet name="Case 3 - Fit Comparsions" sheetId="14" r:id="rId9"/>
    <sheet name="Case 4 - full  " sheetId="15" r:id="rId10"/>
    <sheet name="Case 4 - Peak removed" sheetId="16" r:id="rId11"/>
    <sheet name="Case 4 - Fit Comparsions " sheetId="17" r:id="rId12"/>
    <sheet name="Case 5 - Isotope Change " sheetId="20" r:id="rId13"/>
  </sheets>
  <definedNames>
    <definedName name="solver_adj" localSheetId="1" hidden="1">'Case 1 - 24 hour sampling'!$D$5</definedName>
    <definedName name="solver_adj" localSheetId="0" hidden="1">'Case 1 - full'!$F$5,'Case 1 - full'!$E$7,'Case 1 - full'!$F$7</definedName>
    <definedName name="solver_adj" localSheetId="4" hidden="1">'Case 2 - 24 hours'!$F$5,'Case 2 - 24 hours'!$E$7,'Case 2 - 24 hours'!$F$7</definedName>
    <definedName name="solver_adj" localSheetId="3" hidden="1">'Case 2 - full '!$F$5,'Case 2 - full '!$E$7,'Case 2 - full '!$F$7</definedName>
    <definedName name="solver_adj" localSheetId="7" hidden="1">'Case 3 - 24 hour'!$F$5,'Case 3 - 24 hour'!$E$7,'Case 3 - 24 hour'!$F$7</definedName>
    <definedName name="solver_adj" localSheetId="6" hidden="1">'Case 3 - full '!$F$5,'Case 3 - full '!$E$7,'Case 3 - full '!$F$7</definedName>
    <definedName name="solver_adj" localSheetId="9" hidden="1">'Case 4 - full  '!$F$5,'Case 4 - full  '!$F$7,'Case 4 - full  '!$E$7</definedName>
    <definedName name="solver_adj" localSheetId="10" hidden="1">'Case 4 - Peak removed'!$F$5,'Case 4 - Peak removed'!$E$7,'Case 4 - Peak removed'!$F$7</definedName>
    <definedName name="solver_adj" localSheetId="12" hidden="1">'Case 5 - Isotope Change '!$D$5</definedName>
    <definedName name="solver_cvg" localSheetId="1" hidden="1">0.0001</definedName>
    <definedName name="solver_cvg" localSheetId="0" hidden="1">0.0001</definedName>
    <definedName name="solver_cvg" localSheetId="4" hidden="1">0.0001</definedName>
    <definedName name="solver_cvg" localSheetId="3" hidden="1">0.0001</definedName>
    <definedName name="solver_cvg" localSheetId="7" hidden="1">0.0001</definedName>
    <definedName name="solver_cvg" localSheetId="6" hidden="1">0.0001</definedName>
    <definedName name="solver_cvg" localSheetId="9" hidden="1">0.0001</definedName>
    <definedName name="solver_cvg" localSheetId="10" hidden="1">0.0001</definedName>
    <definedName name="solver_cvg" localSheetId="12" hidden="1">0.0001</definedName>
    <definedName name="solver_drv" localSheetId="1" hidden="1">1</definedName>
    <definedName name="solver_drv" localSheetId="0" hidden="1">1</definedName>
    <definedName name="solver_drv" localSheetId="4" hidden="1">1</definedName>
    <definedName name="solver_drv" localSheetId="3" hidden="1">1</definedName>
    <definedName name="solver_drv" localSheetId="7" hidden="1">1</definedName>
    <definedName name="solver_drv" localSheetId="6" hidden="1">1</definedName>
    <definedName name="solver_drv" localSheetId="9" hidden="1">1</definedName>
    <definedName name="solver_drv" localSheetId="10" hidden="1">1</definedName>
    <definedName name="solver_drv" localSheetId="12" hidden="1">1</definedName>
    <definedName name="solver_eng" localSheetId="1" hidden="1">1</definedName>
    <definedName name="solver_eng" localSheetId="0" hidden="1">1</definedName>
    <definedName name="solver_eng" localSheetId="4" hidden="1">1</definedName>
    <definedName name="solver_eng" localSheetId="3" hidden="1">1</definedName>
    <definedName name="solver_eng" localSheetId="7" hidden="1">1</definedName>
    <definedName name="solver_eng" localSheetId="6" hidden="1">1</definedName>
    <definedName name="solver_eng" localSheetId="9" hidden="1">1</definedName>
    <definedName name="solver_eng" localSheetId="10" hidden="1">1</definedName>
    <definedName name="solver_eng" localSheetId="12" hidden="1">1</definedName>
    <definedName name="solver_est" localSheetId="1" hidden="1">1</definedName>
    <definedName name="solver_est" localSheetId="0" hidden="1">1</definedName>
    <definedName name="solver_est" localSheetId="4" hidden="1">1</definedName>
    <definedName name="solver_est" localSheetId="3" hidden="1">1</definedName>
    <definedName name="solver_est" localSheetId="7" hidden="1">1</definedName>
    <definedName name="solver_est" localSheetId="6" hidden="1">1</definedName>
    <definedName name="solver_est" localSheetId="9" hidden="1">1</definedName>
    <definedName name="solver_est" localSheetId="10" hidden="1">1</definedName>
    <definedName name="solver_est" localSheetId="12" hidden="1">1</definedName>
    <definedName name="solver_itr" localSheetId="1" hidden="1">100</definedName>
    <definedName name="solver_itr" localSheetId="0" hidden="1">100</definedName>
    <definedName name="solver_itr" localSheetId="4" hidden="1">100</definedName>
    <definedName name="solver_itr" localSheetId="3" hidden="1">100</definedName>
    <definedName name="solver_itr" localSheetId="7" hidden="1">100</definedName>
    <definedName name="solver_itr" localSheetId="6" hidden="1">100</definedName>
    <definedName name="solver_itr" localSheetId="9" hidden="1">100</definedName>
    <definedName name="solver_itr" localSheetId="10" hidden="1">100</definedName>
    <definedName name="solver_itr" localSheetId="12" hidden="1">100</definedName>
    <definedName name="solver_lhs1" localSheetId="1" hidden="1">'Case 1 - 24 hour sampling'!$D$5</definedName>
    <definedName name="solver_lhs1" localSheetId="0" hidden="1">'Case 1 - full'!$D$5</definedName>
    <definedName name="solver_lhs1" localSheetId="4" hidden="1">'Case 2 - 24 hours'!$D$5</definedName>
    <definedName name="solver_lhs1" localSheetId="3" hidden="1">'Case 2 - full '!$D$5</definedName>
    <definedName name="solver_lhs1" localSheetId="7" hidden="1">'Case 3 - 24 hour'!$D$5</definedName>
    <definedName name="solver_lhs1" localSheetId="6" hidden="1">'Case 3 - full '!$D$5</definedName>
    <definedName name="solver_lhs1" localSheetId="9" hidden="1">'Case 4 - full  '!$D$5</definedName>
    <definedName name="solver_lhs1" localSheetId="10" hidden="1">'Case 4 - Peak removed'!$E$7</definedName>
    <definedName name="solver_lhs1" localSheetId="12" hidden="1">'Case 5 - Isotope Change '!$D$5</definedName>
    <definedName name="solver_lhs2" localSheetId="1" hidden="1">'Case 1 - 24 hour sampling'!$F$7</definedName>
    <definedName name="solver_lhs2" localSheetId="0" hidden="1">'Case 1 - full'!$D$5</definedName>
    <definedName name="solver_lhs2" localSheetId="4" hidden="1">'Case 2 - 24 hours'!$F$7</definedName>
    <definedName name="solver_lhs2" localSheetId="3" hidden="1">'Case 2 - full '!$F$7</definedName>
    <definedName name="solver_lhs2" localSheetId="7" hidden="1">'Case 3 - 24 hour'!$F$7</definedName>
    <definedName name="solver_lhs2" localSheetId="6" hidden="1">'Case 3 - full '!$F$7</definedName>
    <definedName name="solver_lhs2" localSheetId="9" hidden="1">'Case 4 - full  '!$F$7</definedName>
    <definedName name="solver_lhs2" localSheetId="10" hidden="1">'Case 4 - Peak removed'!$E$7</definedName>
    <definedName name="solver_lhs2" localSheetId="12" hidden="1">'Case 5 - Isotope Change '!#REF!</definedName>
    <definedName name="solver_lhs3" localSheetId="1" hidden="1">'Case 1 - 24 hour sampling'!$F$7</definedName>
    <definedName name="solver_lhs3" localSheetId="0" hidden="1">'Case 1 - full'!$F$7</definedName>
    <definedName name="solver_lhs3" localSheetId="4" hidden="1">'Case 2 - 24 hours'!$F$7</definedName>
    <definedName name="solver_lhs3" localSheetId="3" hidden="1">'Case 2 - full '!$F$7</definedName>
    <definedName name="solver_lhs3" localSheetId="7" hidden="1">'Case 3 - 24 hour'!$F$7</definedName>
    <definedName name="solver_lhs3" localSheetId="6" hidden="1">'Case 3 - full '!$F$7</definedName>
    <definedName name="solver_lhs3" localSheetId="9" hidden="1">'Case 4 - full  '!$F$7</definedName>
    <definedName name="solver_lhs3" localSheetId="10" hidden="1">'Case 4 - Peak removed'!$F$5</definedName>
    <definedName name="solver_lhs3" localSheetId="12" hidden="1">'Case 5 - Isotope Change '!#REF!</definedName>
    <definedName name="solver_lhs4" localSheetId="1" hidden="1">'Case 1 - 24 hour sampling'!$F$7</definedName>
    <definedName name="solver_lhs4" localSheetId="0" hidden="1">'Case 1 - full'!$F$7</definedName>
    <definedName name="solver_lhs4" localSheetId="4" hidden="1">'Case 2 - 24 hours'!$F$7</definedName>
    <definedName name="solver_lhs4" localSheetId="3" hidden="1">'Case 2 - full '!$F$7</definedName>
    <definedName name="solver_lhs4" localSheetId="7" hidden="1">'Case 3 - 24 hour'!$F$7</definedName>
    <definedName name="solver_lhs4" localSheetId="6" hidden="1">'Case 3 - full '!$F$7</definedName>
    <definedName name="solver_lhs4" localSheetId="9" hidden="1">'Case 4 - full  '!$F$7</definedName>
    <definedName name="solver_lhs4" localSheetId="10" hidden="1">'Case 4 - Peak removed'!$F$7</definedName>
    <definedName name="solver_lhs4" localSheetId="12" hidden="1">'Case 5 - Isotope Change '!#REF!</definedName>
    <definedName name="solver_lin" localSheetId="1" hidden="1">2</definedName>
    <definedName name="solver_lin" localSheetId="0" hidden="1">2</definedName>
    <definedName name="solver_lin" localSheetId="4" hidden="1">2</definedName>
    <definedName name="solver_lin" localSheetId="3" hidden="1">2</definedName>
    <definedName name="solver_lin" localSheetId="7" hidden="1">2</definedName>
    <definedName name="solver_lin" localSheetId="6" hidden="1">2</definedName>
    <definedName name="solver_lin" localSheetId="9" hidden="1">2</definedName>
    <definedName name="solver_lin" localSheetId="10" hidden="1">2</definedName>
    <definedName name="solver_lin" localSheetId="12" hidden="1">2</definedName>
    <definedName name="solver_mip" localSheetId="1" hidden="1">2147483647</definedName>
    <definedName name="solver_mip" localSheetId="0" hidden="1">2147483647</definedName>
    <definedName name="solver_mip" localSheetId="4" hidden="1">2147483647</definedName>
    <definedName name="solver_mip" localSheetId="3" hidden="1">2147483647</definedName>
    <definedName name="solver_mip" localSheetId="7" hidden="1">2147483647</definedName>
    <definedName name="solver_mip" localSheetId="6" hidden="1">2147483647</definedName>
    <definedName name="solver_mip" localSheetId="9" hidden="1">2147483647</definedName>
    <definedName name="solver_mip" localSheetId="10" hidden="1">2147483647</definedName>
    <definedName name="solver_mip" localSheetId="12" hidden="1">2147483647</definedName>
    <definedName name="solver_mni" localSheetId="1" hidden="1">30</definedName>
    <definedName name="solver_mni" localSheetId="0" hidden="1">30</definedName>
    <definedName name="solver_mni" localSheetId="4" hidden="1">30</definedName>
    <definedName name="solver_mni" localSheetId="3" hidden="1">30</definedName>
    <definedName name="solver_mni" localSheetId="7" hidden="1">30</definedName>
    <definedName name="solver_mni" localSheetId="6" hidden="1">30</definedName>
    <definedName name="solver_mni" localSheetId="9" hidden="1">30</definedName>
    <definedName name="solver_mni" localSheetId="10" hidden="1">30</definedName>
    <definedName name="solver_mni" localSheetId="12" hidden="1">30</definedName>
    <definedName name="solver_mrt" localSheetId="1" hidden="1">0.075</definedName>
    <definedName name="solver_mrt" localSheetId="0" hidden="1">0.075</definedName>
    <definedName name="solver_mrt" localSheetId="4" hidden="1">0.075</definedName>
    <definedName name="solver_mrt" localSheetId="3" hidden="1">0.075</definedName>
    <definedName name="solver_mrt" localSheetId="7" hidden="1">0.075</definedName>
    <definedName name="solver_mrt" localSheetId="6" hidden="1">0.075</definedName>
    <definedName name="solver_mrt" localSheetId="9" hidden="1">0.075</definedName>
    <definedName name="solver_mrt" localSheetId="10" hidden="1">0.075</definedName>
    <definedName name="solver_mrt" localSheetId="12" hidden="1">0.075</definedName>
    <definedName name="solver_msl" localSheetId="1" hidden="1">2</definedName>
    <definedName name="solver_msl" localSheetId="0" hidden="1">2</definedName>
    <definedName name="solver_msl" localSheetId="4" hidden="1">2</definedName>
    <definedName name="solver_msl" localSheetId="3" hidden="1">2</definedName>
    <definedName name="solver_msl" localSheetId="7" hidden="1">2</definedName>
    <definedName name="solver_msl" localSheetId="6" hidden="1">2</definedName>
    <definedName name="solver_msl" localSheetId="9" hidden="1">2</definedName>
    <definedName name="solver_msl" localSheetId="10" hidden="1">2</definedName>
    <definedName name="solver_msl" localSheetId="12" hidden="1">2</definedName>
    <definedName name="solver_neg" localSheetId="1" hidden="1">2</definedName>
    <definedName name="solver_neg" localSheetId="0" hidden="1">2</definedName>
    <definedName name="solver_neg" localSheetId="4" hidden="1">2</definedName>
    <definedName name="solver_neg" localSheetId="3" hidden="1">2</definedName>
    <definedName name="solver_neg" localSheetId="7" hidden="1">2</definedName>
    <definedName name="solver_neg" localSheetId="6" hidden="1">2</definedName>
    <definedName name="solver_neg" localSheetId="9" hidden="1">2</definedName>
    <definedName name="solver_neg" localSheetId="10" hidden="1">2</definedName>
    <definedName name="solver_neg" localSheetId="12" hidden="1">2</definedName>
    <definedName name="solver_nod" localSheetId="1" hidden="1">2147483647</definedName>
    <definedName name="solver_nod" localSheetId="0" hidden="1">2147483647</definedName>
    <definedName name="solver_nod" localSheetId="4" hidden="1">2147483647</definedName>
    <definedName name="solver_nod" localSheetId="3" hidden="1">2147483647</definedName>
    <definedName name="solver_nod" localSheetId="7" hidden="1">2147483647</definedName>
    <definedName name="solver_nod" localSheetId="6" hidden="1">2147483647</definedName>
    <definedName name="solver_nod" localSheetId="9" hidden="1">2147483647</definedName>
    <definedName name="solver_nod" localSheetId="10" hidden="1">2147483647</definedName>
    <definedName name="solver_nod" localSheetId="12" hidden="1">2147483647</definedName>
    <definedName name="solver_num" localSheetId="1" hidden="1">1</definedName>
    <definedName name="solver_num" localSheetId="0" hidden="1">2</definedName>
    <definedName name="solver_num" localSheetId="4" hidden="1">1</definedName>
    <definedName name="solver_num" localSheetId="3" hidden="1">1</definedName>
    <definedName name="solver_num" localSheetId="7" hidden="1">1</definedName>
    <definedName name="solver_num" localSheetId="6" hidden="1">1</definedName>
    <definedName name="solver_num" localSheetId="9" hidden="1">1</definedName>
    <definedName name="solver_num" localSheetId="10" hidden="1">4</definedName>
    <definedName name="solver_num" localSheetId="12" hidden="1">1</definedName>
    <definedName name="solver_nwt" localSheetId="1" hidden="1">1</definedName>
    <definedName name="solver_nwt" localSheetId="0" hidden="1">1</definedName>
    <definedName name="solver_nwt" localSheetId="4" hidden="1">1</definedName>
    <definedName name="solver_nwt" localSheetId="3" hidden="1">1</definedName>
    <definedName name="solver_nwt" localSheetId="7" hidden="1">1</definedName>
    <definedName name="solver_nwt" localSheetId="6" hidden="1">1</definedName>
    <definedName name="solver_nwt" localSheetId="9" hidden="1">1</definedName>
    <definedName name="solver_nwt" localSheetId="10" hidden="1">1</definedName>
    <definedName name="solver_nwt" localSheetId="12" hidden="1">1</definedName>
    <definedName name="solver_opt" localSheetId="1" hidden="1">'Case 1 - 24 hour sampling'!$D$20</definedName>
    <definedName name="solver_opt" localSheetId="0" hidden="1">'Case 1 - full'!$F$38</definedName>
    <definedName name="solver_opt" localSheetId="4" hidden="1">'Case 2 - 24 hours'!$F$21</definedName>
    <definedName name="solver_opt" localSheetId="3" hidden="1">'Case 2 - full '!$F$30</definedName>
    <definedName name="solver_opt" localSheetId="7" hidden="1">'Case 3 - 24 hour'!$F$19</definedName>
    <definedName name="solver_opt" localSheetId="6" hidden="1">'Case 3 - full '!$D$30</definedName>
    <definedName name="solver_opt" localSheetId="9" hidden="1">'Case 4 - full  '!$F$30</definedName>
    <definedName name="solver_opt" localSheetId="10" hidden="1">'Case 4 - Peak removed'!$F$30</definedName>
    <definedName name="solver_opt" localSheetId="12" hidden="1">'Case 5 - Isotope Change '!$D$21</definedName>
    <definedName name="solver_pre" localSheetId="1" hidden="1">0.000001</definedName>
    <definedName name="solver_pre" localSheetId="0" hidden="1">0.000001</definedName>
    <definedName name="solver_pre" localSheetId="4" hidden="1">0.000001</definedName>
    <definedName name="solver_pre" localSheetId="3" hidden="1">0.000001</definedName>
    <definedName name="solver_pre" localSheetId="7" hidden="1">0.000001</definedName>
    <definedName name="solver_pre" localSheetId="6" hidden="1">0.000001</definedName>
    <definedName name="solver_pre" localSheetId="9" hidden="1">0.000001</definedName>
    <definedName name="solver_pre" localSheetId="10" hidden="1">0.000001</definedName>
    <definedName name="solver_pre" localSheetId="12" hidden="1">0.000001</definedName>
    <definedName name="solver_rbv" localSheetId="1" hidden="1">2</definedName>
    <definedName name="solver_rbv" localSheetId="0" hidden="1">2</definedName>
    <definedName name="solver_rbv" localSheetId="4" hidden="1">2</definedName>
    <definedName name="solver_rbv" localSheetId="3" hidden="1">2</definedName>
    <definedName name="solver_rbv" localSheetId="7" hidden="1">2</definedName>
    <definedName name="solver_rbv" localSheetId="6" hidden="1">2</definedName>
    <definedName name="solver_rbv" localSheetId="9" hidden="1">2</definedName>
    <definedName name="solver_rbv" localSheetId="10" hidden="1">2</definedName>
    <definedName name="solver_rbv" localSheetId="12" hidden="1">2</definedName>
    <definedName name="solver_rel1" localSheetId="1" hidden="1">1</definedName>
    <definedName name="solver_rel1" localSheetId="0" hidden="1">1</definedName>
    <definedName name="solver_rel1" localSheetId="4" hidden="1">1</definedName>
    <definedName name="solver_rel1" localSheetId="3" hidden="1">1</definedName>
    <definedName name="solver_rel1" localSheetId="7" hidden="1">1</definedName>
    <definedName name="solver_rel1" localSheetId="6" hidden="1">1</definedName>
    <definedName name="solver_rel1" localSheetId="9" hidden="1">1</definedName>
    <definedName name="solver_rel1" localSheetId="10" hidden="1">3</definedName>
    <definedName name="solver_rel1" localSheetId="12" hidden="1">1</definedName>
    <definedName name="solver_rel2" localSheetId="1" hidden="1">3</definedName>
    <definedName name="solver_rel2" localSheetId="0" hidden="1">3</definedName>
    <definedName name="solver_rel2" localSheetId="4" hidden="1">3</definedName>
    <definedName name="solver_rel2" localSheetId="3" hidden="1">3</definedName>
    <definedName name="solver_rel2" localSheetId="7" hidden="1">3</definedName>
    <definedName name="solver_rel2" localSheetId="6" hidden="1">3</definedName>
    <definedName name="solver_rel2" localSheetId="9" hidden="1">3</definedName>
    <definedName name="solver_rel2" localSheetId="10" hidden="1">1</definedName>
    <definedName name="solver_rel2" localSheetId="12" hidden="1">3</definedName>
    <definedName name="solver_rel3" localSheetId="1" hidden="1">3</definedName>
    <definedName name="solver_rel3" localSheetId="0" hidden="1">3</definedName>
    <definedName name="solver_rel3" localSheetId="4" hidden="1">3</definedName>
    <definedName name="solver_rel3" localSheetId="3" hidden="1">3</definedName>
    <definedName name="solver_rel3" localSheetId="7" hidden="1">3</definedName>
    <definedName name="solver_rel3" localSheetId="6" hidden="1">3</definedName>
    <definedName name="solver_rel3" localSheetId="9" hidden="1">3</definedName>
    <definedName name="solver_rel3" localSheetId="10" hidden="1">3</definedName>
    <definedName name="solver_rel3" localSheetId="12" hidden="1">3</definedName>
    <definedName name="solver_rel4" localSheetId="1" hidden="1">3</definedName>
    <definedName name="solver_rel4" localSheetId="0" hidden="1">3</definedName>
    <definedName name="solver_rel4" localSheetId="4" hidden="1">3</definedName>
    <definedName name="solver_rel4" localSheetId="3" hidden="1">3</definedName>
    <definedName name="solver_rel4" localSheetId="7" hidden="1">3</definedName>
    <definedName name="solver_rel4" localSheetId="6" hidden="1">3</definedName>
    <definedName name="solver_rel4" localSheetId="9" hidden="1">3</definedName>
    <definedName name="solver_rel4" localSheetId="10" hidden="1">2</definedName>
    <definedName name="solver_rel4" localSheetId="12" hidden="1">3</definedName>
    <definedName name="solver_rhs1" localSheetId="1" hidden="1">'Case 1 - 24 hour sampling'!$H$3</definedName>
    <definedName name="solver_rhs1" localSheetId="0" hidden="1">'Case 1 - full'!$H$3</definedName>
    <definedName name="solver_rhs1" localSheetId="4" hidden="1">'Case 2 - 24 hours'!$H$3</definedName>
    <definedName name="solver_rhs1" localSheetId="3" hidden="1">'Case 2 - full '!$H$3</definedName>
    <definedName name="solver_rhs1" localSheetId="7" hidden="1">'Case 3 - 24 hour'!$H$3</definedName>
    <definedName name="solver_rhs1" localSheetId="6" hidden="1">'Case 3 - full '!$H$3</definedName>
    <definedName name="solver_rhs1" localSheetId="9" hidden="1">'Case 4 - full  '!$H$3</definedName>
    <definedName name="solver_rhs1" localSheetId="10" hidden="1">0</definedName>
    <definedName name="solver_rhs1" localSheetId="12" hidden="1">'Case 5 - Isotope Change '!$H$3</definedName>
    <definedName name="solver_rhs2" localSheetId="1" hidden="1">0</definedName>
    <definedName name="solver_rhs2" localSheetId="0" hidden="1">0</definedName>
    <definedName name="solver_rhs2" localSheetId="4" hidden="1">0</definedName>
    <definedName name="solver_rhs2" localSheetId="3" hidden="1">1</definedName>
    <definedName name="solver_rhs2" localSheetId="7" hidden="1">0</definedName>
    <definedName name="solver_rhs2" localSheetId="6" hidden="1">0</definedName>
    <definedName name="solver_rhs2" localSheetId="9" hidden="1">0</definedName>
    <definedName name="solver_rhs2" localSheetId="10" hidden="1">'Case 4 - Peak removed'!$H$3</definedName>
    <definedName name="solver_rhs2" localSheetId="12" hidden="1">1</definedName>
    <definedName name="solver_rhs3" localSheetId="1" hidden="1">0</definedName>
    <definedName name="solver_rhs3" localSheetId="0" hidden="1">0</definedName>
    <definedName name="solver_rhs3" localSheetId="4" hidden="1">0</definedName>
    <definedName name="solver_rhs3" localSheetId="3" hidden="1">1</definedName>
    <definedName name="solver_rhs3" localSheetId="7" hidden="1">0</definedName>
    <definedName name="solver_rhs3" localSheetId="6" hidden="1">0</definedName>
    <definedName name="solver_rhs3" localSheetId="9" hidden="1">0</definedName>
    <definedName name="solver_rhs3" localSheetId="10" hidden="1">0</definedName>
    <definedName name="solver_rhs3" localSheetId="12" hidden="1">1</definedName>
    <definedName name="solver_rhs4" localSheetId="1" hidden="1">0</definedName>
    <definedName name="solver_rhs4" localSheetId="0" hidden="1">0</definedName>
    <definedName name="solver_rhs4" localSheetId="4" hidden="1">0</definedName>
    <definedName name="solver_rhs4" localSheetId="3" hidden="1">1</definedName>
    <definedName name="solver_rhs4" localSheetId="7" hidden="1">0</definedName>
    <definedName name="solver_rhs4" localSheetId="6" hidden="1">0</definedName>
    <definedName name="solver_rhs4" localSheetId="9" hidden="1">0</definedName>
    <definedName name="solver_rhs4" localSheetId="10" hidden="1">0</definedName>
    <definedName name="solver_rhs4" localSheetId="12" hidden="1">1</definedName>
    <definedName name="solver_rlx" localSheetId="1" hidden="1">2</definedName>
    <definedName name="solver_rlx" localSheetId="0" hidden="1">2</definedName>
    <definedName name="solver_rlx" localSheetId="4" hidden="1">2</definedName>
    <definedName name="solver_rlx" localSheetId="3" hidden="1">2</definedName>
    <definedName name="solver_rlx" localSheetId="7" hidden="1">2</definedName>
    <definedName name="solver_rlx" localSheetId="6" hidden="1">2</definedName>
    <definedName name="solver_rlx" localSheetId="9" hidden="1">2</definedName>
    <definedName name="solver_rlx" localSheetId="10" hidden="1">2</definedName>
    <definedName name="solver_rlx" localSheetId="12" hidden="1">2</definedName>
    <definedName name="solver_rsd" localSheetId="1" hidden="1">0</definedName>
    <definedName name="solver_rsd" localSheetId="0" hidden="1">0</definedName>
    <definedName name="solver_rsd" localSheetId="4" hidden="1">0</definedName>
    <definedName name="solver_rsd" localSheetId="3" hidden="1">0</definedName>
    <definedName name="solver_rsd" localSheetId="7" hidden="1">0</definedName>
    <definedName name="solver_rsd" localSheetId="6" hidden="1">0</definedName>
    <definedName name="solver_rsd" localSheetId="9" hidden="1">0</definedName>
    <definedName name="solver_rsd" localSheetId="10" hidden="1">0</definedName>
    <definedName name="solver_rsd" localSheetId="12" hidden="1">0</definedName>
    <definedName name="solver_scl" localSheetId="1" hidden="1">2</definedName>
    <definedName name="solver_scl" localSheetId="0" hidden="1">2</definedName>
    <definedName name="solver_scl" localSheetId="4" hidden="1">2</definedName>
    <definedName name="solver_scl" localSheetId="3" hidden="1">2</definedName>
    <definedName name="solver_scl" localSheetId="7" hidden="1">2</definedName>
    <definedName name="solver_scl" localSheetId="6" hidden="1">2</definedName>
    <definedName name="solver_scl" localSheetId="9" hidden="1">2</definedName>
    <definedName name="solver_scl" localSheetId="10" hidden="1">2</definedName>
    <definedName name="solver_scl" localSheetId="12" hidden="1">2</definedName>
    <definedName name="solver_sho" localSheetId="1" hidden="1">2</definedName>
    <definedName name="solver_sho" localSheetId="0" hidden="1">2</definedName>
    <definedName name="solver_sho" localSheetId="4" hidden="1">2</definedName>
    <definedName name="solver_sho" localSheetId="3" hidden="1">2</definedName>
    <definedName name="solver_sho" localSheetId="7" hidden="1">2</definedName>
    <definedName name="solver_sho" localSheetId="6" hidden="1">2</definedName>
    <definedName name="solver_sho" localSheetId="9" hidden="1">2</definedName>
    <definedName name="solver_sho" localSheetId="10" hidden="1">2</definedName>
    <definedName name="solver_sho" localSheetId="12" hidden="1">2</definedName>
    <definedName name="solver_ssz" localSheetId="1" hidden="1">100</definedName>
    <definedName name="solver_ssz" localSheetId="0" hidden="1">100</definedName>
    <definedName name="solver_ssz" localSheetId="4" hidden="1">100</definedName>
    <definedName name="solver_ssz" localSheetId="3" hidden="1">100</definedName>
    <definedName name="solver_ssz" localSheetId="7" hidden="1">100</definedName>
    <definedName name="solver_ssz" localSheetId="6" hidden="1">100</definedName>
    <definedName name="solver_ssz" localSheetId="9" hidden="1">100</definedName>
    <definedName name="solver_ssz" localSheetId="10" hidden="1">100</definedName>
    <definedName name="solver_ssz" localSheetId="12" hidden="1">100</definedName>
    <definedName name="solver_tim" localSheetId="1" hidden="1">100</definedName>
    <definedName name="solver_tim" localSheetId="0" hidden="1">100</definedName>
    <definedName name="solver_tim" localSheetId="4" hidden="1">100</definedName>
    <definedName name="solver_tim" localSheetId="3" hidden="1">100</definedName>
    <definedName name="solver_tim" localSheetId="7" hidden="1">100</definedName>
    <definedName name="solver_tim" localSheetId="6" hidden="1">100</definedName>
    <definedName name="solver_tim" localSheetId="9" hidden="1">100</definedName>
    <definedName name="solver_tim" localSheetId="10" hidden="1">100</definedName>
    <definedName name="solver_tim" localSheetId="12" hidden="1">100</definedName>
    <definedName name="solver_tol" localSheetId="1" hidden="1">0.05</definedName>
    <definedName name="solver_tol" localSheetId="0" hidden="1">0.05</definedName>
    <definedName name="solver_tol" localSheetId="4" hidden="1">0.05</definedName>
    <definedName name="solver_tol" localSheetId="3" hidden="1">0.05</definedName>
    <definedName name="solver_tol" localSheetId="7" hidden="1">0.05</definedName>
    <definedName name="solver_tol" localSheetId="6" hidden="1">0.05</definedName>
    <definedName name="solver_tol" localSheetId="9" hidden="1">0.05</definedName>
    <definedName name="solver_tol" localSheetId="10" hidden="1">0.05</definedName>
    <definedName name="solver_tol" localSheetId="12" hidden="1">0.05</definedName>
    <definedName name="solver_typ" localSheetId="1" hidden="1">2</definedName>
    <definedName name="solver_typ" localSheetId="0" hidden="1">2</definedName>
    <definedName name="solver_typ" localSheetId="4" hidden="1">2</definedName>
    <definedName name="solver_typ" localSheetId="3" hidden="1">2</definedName>
    <definedName name="solver_typ" localSheetId="7" hidden="1">2</definedName>
    <definedName name="solver_typ" localSheetId="6" hidden="1">2</definedName>
    <definedName name="solver_typ" localSheetId="9" hidden="1">2</definedName>
    <definedName name="solver_typ" localSheetId="10" hidden="1">2</definedName>
    <definedName name="solver_typ" localSheetId="12" hidden="1">2</definedName>
    <definedName name="solver_val" localSheetId="1" hidden="1">0</definedName>
    <definedName name="solver_val" localSheetId="0" hidden="1">0</definedName>
    <definedName name="solver_val" localSheetId="4" hidden="1">0</definedName>
    <definedName name="solver_val" localSheetId="3" hidden="1">0</definedName>
    <definedName name="solver_val" localSheetId="7" hidden="1">0</definedName>
    <definedName name="solver_val" localSheetId="6" hidden="1">0</definedName>
    <definedName name="solver_val" localSheetId="9" hidden="1">0</definedName>
    <definedName name="solver_val" localSheetId="10" hidden="1">0</definedName>
    <definedName name="solver_val" localSheetId="12" hidden="1">0</definedName>
    <definedName name="solver_ver" localSheetId="1" hidden="1">3</definedName>
    <definedName name="solver_ver" localSheetId="0" hidden="1">3</definedName>
    <definedName name="solver_ver" localSheetId="4" hidden="1">3</definedName>
    <definedName name="solver_ver" localSheetId="3" hidden="1">3</definedName>
    <definedName name="solver_ver" localSheetId="7" hidden="1">3</definedName>
    <definedName name="solver_ver" localSheetId="6" hidden="1">3</definedName>
    <definedName name="solver_ver" localSheetId="9" hidden="1">3</definedName>
    <definedName name="solver_ver" localSheetId="10" hidden="1">3</definedName>
    <definedName name="solver_ver" localSheetId="12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9" l="1"/>
  <c r="H16" i="6"/>
  <c r="H36" i="1"/>
  <c r="D43" i="20" l="1"/>
  <c r="C30" i="20"/>
  <c r="C32" i="20" s="1"/>
  <c r="C40" i="20" s="1"/>
  <c r="C5" i="20"/>
  <c r="C24" i="20" s="1"/>
  <c r="H20" i="8"/>
  <c r="H25" i="11"/>
  <c r="D35" i="16"/>
  <c r="Q37" i="16"/>
  <c r="Q36" i="16"/>
  <c r="Q35" i="16"/>
  <c r="D35" i="15"/>
  <c r="Q37" i="15"/>
  <c r="Q36" i="15"/>
  <c r="Q35" i="15"/>
  <c r="D24" i="12"/>
  <c r="Q26" i="12"/>
  <c r="Q25" i="12"/>
  <c r="Q24" i="12"/>
  <c r="D35" i="11"/>
  <c r="Q37" i="11"/>
  <c r="Q36" i="11"/>
  <c r="Q35" i="11"/>
  <c r="D26" i="9"/>
  <c r="Q28" i="9"/>
  <c r="Q27" i="9"/>
  <c r="Q26" i="9"/>
  <c r="D35" i="8"/>
  <c r="Q37" i="8"/>
  <c r="Q36" i="8"/>
  <c r="Q35" i="8"/>
  <c r="D25" i="6"/>
  <c r="Q27" i="6"/>
  <c r="Q26" i="6"/>
  <c r="Q25" i="6"/>
  <c r="D43" i="1"/>
  <c r="C5" i="16"/>
  <c r="C16" i="16" s="1"/>
  <c r="D16" i="16" s="1"/>
  <c r="C15" i="16"/>
  <c r="D15" i="16" s="1"/>
  <c r="E5" i="16"/>
  <c r="E14" i="16" s="1"/>
  <c r="F14" i="16" s="1"/>
  <c r="Q45" i="1"/>
  <c r="Q44" i="1"/>
  <c r="Q43" i="1"/>
  <c r="Q42" i="1"/>
  <c r="Q41" i="1"/>
  <c r="Q40" i="1"/>
  <c r="Q39" i="1"/>
  <c r="E27" i="17"/>
  <c r="D27" i="17"/>
  <c r="C27" i="17"/>
  <c r="E23" i="17"/>
  <c r="D23" i="17"/>
  <c r="C23" i="17"/>
  <c r="F6" i="17"/>
  <c r="C6" i="17"/>
  <c r="E6" i="17"/>
  <c r="B6" i="17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E5" i="15"/>
  <c r="E13" i="15" s="1"/>
  <c r="F13" i="15" s="1"/>
  <c r="C5" i="15"/>
  <c r="C11" i="15" s="1"/>
  <c r="D11" i="15" s="1"/>
  <c r="F6" i="14"/>
  <c r="F6" i="13"/>
  <c r="E27" i="14"/>
  <c r="D27" i="14"/>
  <c r="C27" i="14"/>
  <c r="E23" i="14"/>
  <c r="D23" i="14"/>
  <c r="C23" i="14"/>
  <c r="C6" i="14"/>
  <c r="E6" i="14"/>
  <c r="B6" i="14"/>
  <c r="E27" i="13"/>
  <c r="D27" i="13"/>
  <c r="C27" i="13"/>
  <c r="E23" i="13"/>
  <c r="D23" i="13"/>
  <c r="C23" i="13"/>
  <c r="C6" i="13"/>
  <c r="E6" i="13"/>
  <c r="B6" i="13"/>
  <c r="E27" i="10"/>
  <c r="D27" i="10"/>
  <c r="C27" i="10"/>
  <c r="E23" i="10"/>
  <c r="D23" i="10"/>
  <c r="C23" i="10"/>
  <c r="F6" i="10"/>
  <c r="C6" i="10"/>
  <c r="H13" i="12"/>
  <c r="H12" i="12"/>
  <c r="H11" i="12"/>
  <c r="H22" i="12" s="1"/>
  <c r="H27" i="12" s="1"/>
  <c r="E5" i="12"/>
  <c r="E11" i="12" s="1"/>
  <c r="F11" i="12" s="1"/>
  <c r="C5" i="12"/>
  <c r="C11" i="12" s="1"/>
  <c r="D11" i="12" s="1"/>
  <c r="H23" i="11"/>
  <c r="H24" i="11"/>
  <c r="H20" i="11"/>
  <c r="H21" i="11"/>
  <c r="H22" i="11"/>
  <c r="H19" i="11"/>
  <c r="H18" i="11"/>
  <c r="H17" i="11"/>
  <c r="H16" i="11"/>
  <c r="H15" i="11"/>
  <c r="H14" i="11"/>
  <c r="H13" i="11"/>
  <c r="H12" i="11"/>
  <c r="H11" i="11"/>
  <c r="E5" i="11"/>
  <c r="E19" i="11" s="1"/>
  <c r="F19" i="11" s="1"/>
  <c r="C5" i="11"/>
  <c r="C22" i="11" s="1"/>
  <c r="D22" i="11" s="1"/>
  <c r="B6" i="10"/>
  <c r="E6" i="10"/>
  <c r="H13" i="9"/>
  <c r="H12" i="9"/>
  <c r="H11" i="9"/>
  <c r="E5" i="9"/>
  <c r="E12" i="9" s="1"/>
  <c r="F12" i="9" s="1"/>
  <c r="C5" i="9"/>
  <c r="C11" i="9" s="1"/>
  <c r="D11" i="9" s="1"/>
  <c r="H19" i="8"/>
  <c r="H18" i="8"/>
  <c r="H17" i="8"/>
  <c r="H16" i="8"/>
  <c r="H15" i="8"/>
  <c r="H14" i="8"/>
  <c r="H13" i="8"/>
  <c r="H12" i="8"/>
  <c r="H11" i="8"/>
  <c r="E5" i="8"/>
  <c r="E18" i="8" s="1"/>
  <c r="F18" i="8" s="1"/>
  <c r="C5" i="8"/>
  <c r="C12" i="8" s="1"/>
  <c r="D12" i="8" s="1"/>
  <c r="C12" i="15"/>
  <c r="D12" i="15" s="1"/>
  <c r="C20" i="15"/>
  <c r="D20" i="15" s="1"/>
  <c r="C22" i="15"/>
  <c r="D22" i="15" s="1"/>
  <c r="E13" i="11"/>
  <c r="F13" i="11" s="1"/>
  <c r="C14" i="9"/>
  <c r="D14" i="9" s="1"/>
  <c r="E14" i="8"/>
  <c r="F14" i="8" s="1"/>
  <c r="E20" i="8"/>
  <c r="F20" i="8" s="1"/>
  <c r="E13" i="8"/>
  <c r="F13" i="8" s="1"/>
  <c r="H15" i="6"/>
  <c r="H14" i="6"/>
  <c r="H13" i="6"/>
  <c r="H12" i="6"/>
  <c r="H11" i="6"/>
  <c r="E5" i="6"/>
  <c r="B27" i="13" s="1"/>
  <c r="C5" i="6"/>
  <c r="C14" i="6" s="1"/>
  <c r="D14" i="6" s="1"/>
  <c r="E5" i="1"/>
  <c r="E12" i="1" s="1"/>
  <c r="F12" i="1" s="1"/>
  <c r="C15" i="6"/>
  <c r="D15" i="6" s="1"/>
  <c r="C5" i="1"/>
  <c r="C41" i="1" s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11" i="1"/>
  <c r="E23" i="16"/>
  <c r="F23" i="16"/>
  <c r="E19" i="16"/>
  <c r="F19" i="16" s="1"/>
  <c r="E15" i="16"/>
  <c r="F15" i="16" s="1"/>
  <c r="C24" i="16"/>
  <c r="D24" i="16" s="1"/>
  <c r="C20" i="16"/>
  <c r="D20" i="16" s="1"/>
  <c r="E27" i="1"/>
  <c r="F27" i="1" s="1"/>
  <c r="E17" i="1"/>
  <c r="F17" i="1" s="1"/>
  <c r="E13" i="1"/>
  <c r="F13" i="1" s="1"/>
  <c r="B23" i="14"/>
  <c r="E24" i="16"/>
  <c r="F24" i="16" s="1"/>
  <c r="E20" i="16"/>
  <c r="F20" i="16" s="1"/>
  <c r="E16" i="16"/>
  <c r="F16" i="16" s="1"/>
  <c r="C25" i="16"/>
  <c r="D25" i="16" s="1"/>
  <c r="C29" i="1"/>
  <c r="D29" i="1" s="1"/>
  <c r="E13" i="6"/>
  <c r="F13" i="6" s="1"/>
  <c r="C17" i="15"/>
  <c r="D17" i="15" s="1"/>
  <c r="B23" i="17"/>
  <c r="E25" i="16"/>
  <c r="F25" i="16"/>
  <c r="E21" i="16"/>
  <c r="F21" i="16"/>
  <c r="E17" i="16"/>
  <c r="F17" i="16"/>
  <c r="C13" i="16"/>
  <c r="C22" i="16"/>
  <c r="D22" i="16" s="1"/>
  <c r="C14" i="16"/>
  <c r="D14" i="16" s="1"/>
  <c r="E36" i="1"/>
  <c r="F36" i="1" s="1"/>
  <c r="E26" i="1"/>
  <c r="F26" i="1" s="1"/>
  <c r="E24" i="1"/>
  <c r="F24" i="1" s="1"/>
  <c r="E22" i="1"/>
  <c r="F22" i="1" s="1"/>
  <c r="E12" i="6"/>
  <c r="F12" i="6" s="1"/>
  <c r="E13" i="16"/>
  <c r="E33" i="16" s="1"/>
  <c r="E38" i="16" s="1"/>
  <c r="E22" i="16"/>
  <c r="F22" i="16"/>
  <c r="E18" i="16"/>
  <c r="F18" i="16" s="1"/>
  <c r="C28" i="1"/>
  <c r="D28" i="1" s="1"/>
  <c r="C14" i="1"/>
  <c r="D14" i="1" s="1"/>
  <c r="F13" i="16"/>
  <c r="D13" i="16"/>
  <c r="C16" i="1" l="1"/>
  <c r="D16" i="1" s="1"/>
  <c r="E14" i="6"/>
  <c r="F14" i="6" s="1"/>
  <c r="C13" i="1"/>
  <c r="D13" i="1" s="1"/>
  <c r="E23" i="11"/>
  <c r="F23" i="11" s="1"/>
  <c r="B27" i="17"/>
  <c r="C12" i="9"/>
  <c r="D12" i="9" s="1"/>
  <c r="E16" i="6"/>
  <c r="F16" i="6" s="1"/>
  <c r="C19" i="15"/>
  <c r="D19" i="15" s="1"/>
  <c r="C15" i="1"/>
  <c r="D15" i="1" s="1"/>
  <c r="C17" i="16"/>
  <c r="D17" i="16" s="1"/>
  <c r="B27" i="14"/>
  <c r="C17" i="8"/>
  <c r="D17" i="8" s="1"/>
  <c r="E11" i="9"/>
  <c r="F11" i="9" s="1"/>
  <c r="E13" i="12"/>
  <c r="F13" i="12" s="1"/>
  <c r="C18" i="15"/>
  <c r="D18" i="15" s="1"/>
  <c r="C36" i="1"/>
  <c r="D36" i="1" s="1"/>
  <c r="C31" i="1"/>
  <c r="D31" i="1" s="1"/>
  <c r="C24" i="1"/>
  <c r="D24" i="1" s="1"/>
  <c r="C19" i="16"/>
  <c r="D19" i="16" s="1"/>
  <c r="C12" i="1"/>
  <c r="D12" i="1" s="1"/>
  <c r="C26" i="1"/>
  <c r="D26" i="1" s="1"/>
  <c r="C23" i="16"/>
  <c r="D23" i="16" s="1"/>
  <c r="E14" i="1"/>
  <c r="F14" i="1" s="1"/>
  <c r="E28" i="1"/>
  <c r="F28" i="1" s="1"/>
  <c r="C18" i="16"/>
  <c r="D18" i="16" s="1"/>
  <c r="C21" i="15"/>
  <c r="D21" i="15" s="1"/>
  <c r="C17" i="1"/>
  <c r="D17" i="1" s="1"/>
  <c r="C21" i="16"/>
  <c r="D21" i="16" s="1"/>
  <c r="D30" i="16" s="1"/>
  <c r="E23" i="6"/>
  <c r="D34" i="10" s="1"/>
  <c r="H41" i="1"/>
  <c r="H46" i="1" s="1"/>
  <c r="C15" i="8"/>
  <c r="D15" i="8" s="1"/>
  <c r="E13" i="9"/>
  <c r="F13" i="9" s="1"/>
  <c r="E15" i="11"/>
  <c r="F15" i="11" s="1"/>
  <c r="C24" i="15"/>
  <c r="D24" i="15" s="1"/>
  <c r="C14" i="15"/>
  <c r="D14" i="15" s="1"/>
  <c r="E16" i="8"/>
  <c r="F16" i="8" s="1"/>
  <c r="E28" i="6"/>
  <c r="C30" i="1"/>
  <c r="D30" i="1" s="1"/>
  <c r="C13" i="8"/>
  <c r="D13" i="8" s="1"/>
  <c r="C12" i="20"/>
  <c r="D12" i="20" s="1"/>
  <c r="C18" i="1"/>
  <c r="D18" i="1" s="1"/>
  <c r="E12" i="8"/>
  <c r="F12" i="8" s="1"/>
  <c r="C32" i="1"/>
  <c r="D32" i="1" s="1"/>
  <c r="E16" i="1"/>
  <c r="F16" i="1" s="1"/>
  <c r="C33" i="16"/>
  <c r="C33" i="11"/>
  <c r="C38" i="11" s="1"/>
  <c r="C21" i="1"/>
  <c r="D21" i="1" s="1"/>
  <c r="C35" i="1"/>
  <c r="D35" i="1" s="1"/>
  <c r="E33" i="1"/>
  <c r="F33" i="1" s="1"/>
  <c r="E19" i="8"/>
  <c r="F19" i="8" s="1"/>
  <c r="E11" i="8"/>
  <c r="F11" i="8" s="1"/>
  <c r="C13" i="20"/>
  <c r="D13" i="20" s="1"/>
  <c r="C19" i="1"/>
  <c r="D19" i="1" s="1"/>
  <c r="E30" i="1"/>
  <c r="F30" i="1" s="1"/>
  <c r="C20" i="1"/>
  <c r="D20" i="1" s="1"/>
  <c r="C34" i="1"/>
  <c r="D34" i="1" s="1"/>
  <c r="E18" i="1"/>
  <c r="F18" i="1" s="1"/>
  <c r="E32" i="1"/>
  <c r="F32" i="1" s="1"/>
  <c r="B23" i="10"/>
  <c r="C11" i="1"/>
  <c r="D11" i="1" s="1"/>
  <c r="C23" i="1"/>
  <c r="D23" i="1" s="1"/>
  <c r="C19" i="8"/>
  <c r="D19" i="8" s="1"/>
  <c r="C11" i="8"/>
  <c r="D11" i="8" s="1"/>
  <c r="C16" i="20"/>
  <c r="D16" i="20" s="1"/>
  <c r="C33" i="1"/>
  <c r="D33" i="1" s="1"/>
  <c r="C22" i="1"/>
  <c r="D22" i="1" s="1"/>
  <c r="B27" i="10"/>
  <c r="E20" i="1"/>
  <c r="F20" i="1" s="1"/>
  <c r="E34" i="1"/>
  <c r="F34" i="1" s="1"/>
  <c r="C15" i="15"/>
  <c r="D15" i="15" s="1"/>
  <c r="C25" i="1"/>
  <c r="D25" i="1" s="1"/>
  <c r="C33" i="15"/>
  <c r="C38" i="15" s="1"/>
  <c r="E17" i="8"/>
  <c r="F17" i="8" s="1"/>
  <c r="E33" i="8"/>
  <c r="E24" i="9"/>
  <c r="E11" i="11"/>
  <c r="F11" i="11" s="1"/>
  <c r="C16" i="15"/>
  <c r="D16" i="15" s="1"/>
  <c r="H24" i="9"/>
  <c r="H29" i="9" s="1"/>
  <c r="H33" i="16"/>
  <c r="H38" i="16" s="1"/>
  <c r="C17" i="20"/>
  <c r="D17" i="20" s="1"/>
  <c r="C27" i="1"/>
  <c r="D27" i="1" s="1"/>
  <c r="E15" i="8"/>
  <c r="F15" i="8" s="1"/>
  <c r="C46" i="1"/>
  <c r="C11" i="10"/>
  <c r="E11" i="6"/>
  <c r="F11" i="6" s="1"/>
  <c r="E11" i="1"/>
  <c r="F11" i="1" s="1"/>
  <c r="E23" i="1"/>
  <c r="F23" i="1" s="1"/>
  <c r="E29" i="1"/>
  <c r="F29" i="1" s="1"/>
  <c r="B23" i="13"/>
  <c r="E41" i="1"/>
  <c r="B34" i="10" s="1"/>
  <c r="H23" i="6"/>
  <c r="H28" i="6" s="1"/>
  <c r="E17" i="11"/>
  <c r="F17" i="11" s="1"/>
  <c r="E33" i="11"/>
  <c r="B34" i="14" s="1"/>
  <c r="C33" i="8"/>
  <c r="C24" i="9"/>
  <c r="F11" i="13" s="1"/>
  <c r="C13" i="15"/>
  <c r="D13" i="15" s="1"/>
  <c r="C14" i="20"/>
  <c r="D14" i="20" s="1"/>
  <c r="C18" i="20"/>
  <c r="D18" i="20" s="1"/>
  <c r="D34" i="17"/>
  <c r="E19" i="1"/>
  <c r="F19" i="1" s="1"/>
  <c r="E25" i="1"/>
  <c r="F25" i="1" s="1"/>
  <c r="E35" i="1"/>
  <c r="F35" i="1" s="1"/>
  <c r="E24" i="11"/>
  <c r="F24" i="11" s="1"/>
  <c r="C11" i="20"/>
  <c r="D11" i="20" s="1"/>
  <c r="C15" i="20"/>
  <c r="D15" i="20" s="1"/>
  <c r="F30" i="16"/>
  <c r="E15" i="6"/>
  <c r="F15" i="6" s="1"/>
  <c r="E15" i="1"/>
  <c r="F15" i="1" s="1"/>
  <c r="E21" i="1"/>
  <c r="F21" i="1" s="1"/>
  <c r="E31" i="1"/>
  <c r="F31" i="1" s="1"/>
  <c r="C46" i="20"/>
  <c r="H33" i="8"/>
  <c r="H38" i="8" s="1"/>
  <c r="H33" i="11"/>
  <c r="H38" i="11" s="1"/>
  <c r="H33" i="15"/>
  <c r="H38" i="15" s="1"/>
  <c r="E38" i="11"/>
  <c r="F11" i="17"/>
  <c r="C38" i="16"/>
  <c r="C11" i="14"/>
  <c r="C23" i="6"/>
  <c r="C12" i="6"/>
  <c r="D12" i="6" s="1"/>
  <c r="C16" i="6"/>
  <c r="D16" i="6" s="1"/>
  <c r="C13" i="6"/>
  <c r="D13" i="6" s="1"/>
  <c r="C11" i="6"/>
  <c r="D11" i="6" s="1"/>
  <c r="C20" i="8"/>
  <c r="D20" i="8" s="1"/>
  <c r="C18" i="8"/>
  <c r="D18" i="8" s="1"/>
  <c r="C16" i="8"/>
  <c r="D16" i="8" s="1"/>
  <c r="C14" i="8"/>
  <c r="D14" i="8" s="1"/>
  <c r="C13" i="9"/>
  <c r="D13" i="9" s="1"/>
  <c r="D21" i="9" s="1"/>
  <c r="E14" i="9"/>
  <c r="F14" i="9" s="1"/>
  <c r="C19" i="11"/>
  <c r="D19" i="11" s="1"/>
  <c r="C17" i="11"/>
  <c r="D17" i="11" s="1"/>
  <c r="C15" i="11"/>
  <c r="D15" i="11" s="1"/>
  <c r="C13" i="11"/>
  <c r="D13" i="11" s="1"/>
  <c r="C11" i="11"/>
  <c r="D11" i="11" s="1"/>
  <c r="E20" i="11"/>
  <c r="F20" i="11" s="1"/>
  <c r="E18" i="11"/>
  <c r="F18" i="11" s="1"/>
  <c r="E16" i="11"/>
  <c r="F16" i="11" s="1"/>
  <c r="E14" i="11"/>
  <c r="F14" i="11" s="1"/>
  <c r="E12" i="11"/>
  <c r="F12" i="11" s="1"/>
  <c r="E21" i="11"/>
  <c r="F21" i="11" s="1"/>
  <c r="C21" i="11"/>
  <c r="D21" i="11" s="1"/>
  <c r="E22" i="11"/>
  <c r="F22" i="11" s="1"/>
  <c r="E12" i="12"/>
  <c r="F12" i="12" s="1"/>
  <c r="F19" i="12" s="1"/>
  <c r="E22" i="12"/>
  <c r="C13" i="12"/>
  <c r="D13" i="12" s="1"/>
  <c r="E22" i="15"/>
  <c r="F22" i="15" s="1"/>
  <c r="E20" i="15"/>
  <c r="F20" i="15" s="1"/>
  <c r="E18" i="15"/>
  <c r="F18" i="15" s="1"/>
  <c r="E16" i="15"/>
  <c r="F16" i="15" s="1"/>
  <c r="E14" i="15"/>
  <c r="F14" i="15" s="1"/>
  <c r="E12" i="15"/>
  <c r="F12" i="15" s="1"/>
  <c r="E33" i="15"/>
  <c r="C25" i="15"/>
  <c r="D25" i="15" s="1"/>
  <c r="C23" i="15"/>
  <c r="D23" i="15" s="1"/>
  <c r="E19" i="15"/>
  <c r="F19" i="15" s="1"/>
  <c r="E15" i="15"/>
  <c r="F15" i="15" s="1"/>
  <c r="E11" i="15"/>
  <c r="F11" i="15" s="1"/>
  <c r="C24" i="11"/>
  <c r="D24" i="11" s="1"/>
  <c r="C25" i="11"/>
  <c r="D25" i="11" s="1"/>
  <c r="C22" i="12"/>
  <c r="E24" i="15"/>
  <c r="F24" i="15" s="1"/>
  <c r="C20" i="11"/>
  <c r="D20" i="11" s="1"/>
  <c r="C18" i="11"/>
  <c r="D18" i="11" s="1"/>
  <c r="C16" i="11"/>
  <c r="D16" i="11" s="1"/>
  <c r="C14" i="11"/>
  <c r="D14" i="11" s="1"/>
  <c r="C12" i="11"/>
  <c r="D12" i="11" s="1"/>
  <c r="C23" i="11"/>
  <c r="D23" i="11" s="1"/>
  <c r="C12" i="12"/>
  <c r="D12" i="12" s="1"/>
  <c r="E25" i="15"/>
  <c r="F25" i="15" s="1"/>
  <c r="E23" i="15"/>
  <c r="F23" i="15" s="1"/>
  <c r="E21" i="15"/>
  <c r="F21" i="15" s="1"/>
  <c r="E17" i="15"/>
  <c r="F17" i="15" s="1"/>
  <c r="E25" i="11"/>
  <c r="F25" i="11" s="1"/>
  <c r="C11" i="17" l="1"/>
  <c r="F21" i="9"/>
  <c r="D21" i="20"/>
  <c r="C29" i="9"/>
  <c r="F30" i="8"/>
  <c r="F20" i="6"/>
  <c r="D38" i="1"/>
  <c r="E29" i="9"/>
  <c r="D34" i="13"/>
  <c r="B34" i="13"/>
  <c r="E38" i="8"/>
  <c r="E46" i="1"/>
  <c r="F38" i="1"/>
  <c r="Q38" i="1" s="1"/>
  <c r="D19" i="12"/>
  <c r="C38" i="8"/>
  <c r="C11" i="13"/>
  <c r="D30" i="8"/>
  <c r="D30" i="11"/>
  <c r="D20" i="6"/>
  <c r="D30" i="15"/>
  <c r="F11" i="14"/>
  <c r="C27" i="12"/>
  <c r="E38" i="15"/>
  <c r="B34" i="17"/>
  <c r="D34" i="14"/>
  <c r="E27" i="12"/>
  <c r="F30" i="11"/>
  <c r="C28" i="6"/>
  <c r="F11" i="10"/>
  <c r="F30" i="15"/>
</calcChain>
</file>

<file path=xl/sharedStrings.xml><?xml version="1.0" encoding="utf-8"?>
<sst xmlns="http://schemas.openxmlformats.org/spreadsheetml/2006/main" count="387" uniqueCount="69">
  <si>
    <t>Time</t>
  </si>
  <si>
    <t>Measured Activity</t>
  </si>
  <si>
    <t xml:space="preserve">Expected Activity </t>
  </si>
  <si>
    <t>(Measured -Expected)^2</t>
  </si>
  <si>
    <t>Raw A -T Data</t>
  </si>
  <si>
    <t>Trapezoid Integration</t>
  </si>
  <si>
    <t>Mono-exponential Fit Parameters</t>
  </si>
  <si>
    <t>A0 (MBq)</t>
  </si>
  <si>
    <t>Teff (hours)</t>
  </si>
  <si>
    <t>Mono-exponential fit curve</t>
  </si>
  <si>
    <t>Biexponential Fit Parameters</t>
  </si>
  <si>
    <t>Teff1 (hours)</t>
  </si>
  <si>
    <t>Teff2 (hours)</t>
  </si>
  <si>
    <t>f</t>
  </si>
  <si>
    <t>Bi-exponential fit curve</t>
  </si>
  <si>
    <r>
      <t xml:space="preserve">Trapezoid </t>
    </r>
    <r>
      <rPr>
        <b/>
        <sz val="11"/>
        <color indexed="9"/>
        <rFont val="Calibri"/>
        <family val="2"/>
      </rPr>
      <t>Ã</t>
    </r>
  </si>
  <si>
    <t>Trapezoid Ã</t>
  </si>
  <si>
    <r>
      <t xml:space="preserve">Bi-exp </t>
    </r>
    <r>
      <rPr>
        <b/>
        <sz val="11"/>
        <rFont val="Calibri"/>
        <family val="2"/>
      </rPr>
      <t>Ã</t>
    </r>
  </si>
  <si>
    <r>
      <t xml:space="preserve">Mono -exp </t>
    </r>
    <r>
      <rPr>
        <b/>
        <sz val="11"/>
        <rFont val="Calibri"/>
        <family val="2"/>
      </rPr>
      <t>Ã</t>
    </r>
  </si>
  <si>
    <r>
      <rPr>
        <b/>
        <sz val="11"/>
        <color indexed="9"/>
        <rFont val="Calibri"/>
        <family val="2"/>
      </rPr>
      <t>∑ [</t>
    </r>
    <r>
      <rPr>
        <b/>
        <sz val="11"/>
        <color indexed="9"/>
        <rFont val="Calibri"/>
        <family val="2"/>
      </rPr>
      <t>(Measured -Expected)^2]</t>
    </r>
  </si>
  <si>
    <r>
      <t xml:space="preserve">To  -&gt; </t>
    </r>
    <r>
      <rPr>
        <sz val="11"/>
        <color indexed="8"/>
        <rFont val="Calibri"/>
        <family val="2"/>
      </rPr>
      <t>∞</t>
    </r>
  </si>
  <si>
    <t>131I Tphys (Hours)</t>
  </si>
  <si>
    <r>
      <t>Methods of Cumulative Activity (</t>
    </r>
    <r>
      <rPr>
        <b/>
        <sz val="11"/>
        <rFont val="Calibri"/>
        <family val="2"/>
      </rPr>
      <t>Ã</t>
    </r>
    <r>
      <rPr>
        <b/>
        <sz val="11"/>
        <rFont val="Calibri"/>
        <family val="2"/>
      </rPr>
      <t>) Estimation</t>
    </r>
  </si>
  <si>
    <r>
      <t xml:space="preserve">Bi-exp </t>
    </r>
    <r>
      <rPr>
        <b/>
        <sz val="11"/>
        <rFont val="Calibri"/>
        <family val="2"/>
      </rPr>
      <t>Ã 24 hour interval</t>
    </r>
  </si>
  <si>
    <r>
      <t xml:space="preserve">Bi-exp </t>
    </r>
    <r>
      <rPr>
        <b/>
        <sz val="11"/>
        <rFont val="Calibri"/>
        <family val="2"/>
      </rPr>
      <t>Ã All Points</t>
    </r>
  </si>
  <si>
    <t>f 24 hour interval</t>
  </si>
  <si>
    <t>Teff2 (hours) 2erval</t>
  </si>
  <si>
    <t>Teff1 (hours) 24 hour interval</t>
  </si>
  <si>
    <t>Biexponential Fit Parameters  (24 hour interval)</t>
  </si>
  <si>
    <t>f All Points</t>
  </si>
  <si>
    <t>Teff2 (hours)  All Points</t>
  </si>
  <si>
    <t>Teff1 (hours) All Points</t>
  </si>
  <si>
    <t>Biexponential Fit Parameters (All Points)</t>
  </si>
  <si>
    <r>
      <t xml:space="preserve">Mono -exp </t>
    </r>
    <r>
      <rPr>
        <b/>
        <sz val="11"/>
        <rFont val="Calibri"/>
        <family val="2"/>
      </rPr>
      <t>Ã : 24 hour sampling</t>
    </r>
  </si>
  <si>
    <r>
      <t xml:space="preserve">Mono -exp </t>
    </r>
    <r>
      <rPr>
        <b/>
        <sz val="11"/>
        <rFont val="Calibri"/>
        <family val="2"/>
      </rPr>
      <t>Ã : All Points</t>
    </r>
  </si>
  <si>
    <t>Teff (hours): 24 hour interval</t>
  </si>
  <si>
    <t>Teff (hours) : All Points</t>
  </si>
  <si>
    <t>Mono-exponential Fit Parameters (24 hour interval)</t>
  </si>
  <si>
    <t>Mono-exponential Fit Parameters (All Points)</t>
  </si>
  <si>
    <t>Mono-exponential Fit Parameters (Peak Removed)</t>
  </si>
  <si>
    <r>
      <t xml:space="preserve">Mono -exp </t>
    </r>
    <r>
      <rPr>
        <b/>
        <sz val="11"/>
        <rFont val="Calibri"/>
        <family val="2"/>
      </rPr>
      <t>Ã : Peak Removed</t>
    </r>
  </si>
  <si>
    <t>Biexponential Fit Parameters  (Peak Removed)</t>
  </si>
  <si>
    <r>
      <t xml:space="preserve">Bi-exp </t>
    </r>
    <r>
      <rPr>
        <b/>
        <sz val="11"/>
        <rFont val="Calibri"/>
        <family val="2"/>
      </rPr>
      <t>Ã Peak Removed</t>
    </r>
  </si>
  <si>
    <t>Teff (hours): Peak Removed</t>
  </si>
  <si>
    <t>Teff1 (hours) Peak Removed</t>
  </si>
  <si>
    <t>Teff2 (hours) Peak Removed</t>
  </si>
  <si>
    <t>f Peak Removed</t>
  </si>
  <si>
    <t>Mass kg</t>
  </si>
  <si>
    <t>Dose  Biexp  Gy</t>
  </si>
  <si>
    <t>Dose Mono Gy</t>
  </si>
  <si>
    <t>Dose Trapezoid Gy</t>
  </si>
  <si>
    <r>
      <t xml:space="preserve">Mono -exp </t>
    </r>
    <r>
      <rPr>
        <b/>
        <sz val="11"/>
        <rFont val="Calibri"/>
        <family val="2"/>
      </rPr>
      <t>Ã  MBqhr</t>
    </r>
  </si>
  <si>
    <t>S factor Gy. MBq-1.hr-1</t>
  </si>
  <si>
    <t>Measured Activity MBq</t>
  </si>
  <si>
    <r>
      <t xml:space="preserve">Bi-exp </t>
    </r>
    <r>
      <rPr>
        <b/>
        <sz val="11"/>
        <rFont val="Calibri"/>
        <family val="2"/>
      </rPr>
      <t>Ã MBqhr</t>
    </r>
  </si>
  <si>
    <t>Trapezoid Ã MBqhr</t>
  </si>
  <si>
    <t>Time (hrs)</t>
  </si>
  <si>
    <t>Measured Activity (MBq)</t>
  </si>
  <si>
    <t>123I Tphys (Hours)</t>
  </si>
  <si>
    <t>400MBq I123 mIBG tracer administered to establish suitability and safety of proposed I131 mIBG MRT.</t>
  </si>
  <si>
    <t>What is the expected WB dose from 7,400MBq I131 mIBG, based on the tracer measurements?</t>
  </si>
  <si>
    <t>1) Convert Effective Half Life (I123) to Effective Half Life (I131): 1/Teff = 1/Tbio + 1/Tphys</t>
  </si>
  <si>
    <t>Tbio (hours)</t>
  </si>
  <si>
    <t>3) Calculate new Cumulative Activity (MBq.hr)</t>
  </si>
  <si>
    <t>2) Establish new A(0) point</t>
  </si>
  <si>
    <t>THIS SPREADSHEET IS FOR TRAINING PURPOSES ONLY AND SHOULD NOT BE USED FOR CLINICAL WORK</t>
  </si>
  <si>
    <t xml:space="preserve"> </t>
  </si>
  <si>
    <t>use teffI123 and Tphys I123</t>
  </si>
  <si>
    <t>Use Tbio and Tphy I131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</si>
</sst>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1"/>
      <color indexed="17"/>
      <name val="Calibri"/>
      <family val="2"/>
    </font>
    <font>
      <sz val="11"/>
      <color indexed="9"/>
      <name val="Calibri"/>
      <family val="2"/>
    </font>
    <font>
      <b/>
      <sz val="11"/>
      <color indexed="60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sz val="11"/>
      <color indexed="53"/>
      <name val="Calibri"/>
      <family val="2"/>
    </font>
    <font>
      <b/>
      <sz val="11"/>
      <color indexed="53"/>
      <name val="Calibri"/>
      <family val="2"/>
    </font>
    <font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650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99FF99"/>
      </patternFill>
    </fill>
    <fill>
      <patternFill patternType="solid">
        <fgColor theme="5" tint="0.59996337778862885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double">
        <color indexed="63"/>
      </bottom>
      <diagonal/>
    </border>
    <border>
      <left/>
      <right style="thin">
        <color indexed="23"/>
      </right>
      <top style="thin">
        <color indexed="23"/>
      </top>
      <bottom style="double">
        <color indexed="63"/>
      </bottom>
      <diagonal/>
    </border>
    <border>
      <left style="thin">
        <color indexed="23"/>
      </left>
      <right/>
      <top style="thin">
        <color indexed="22"/>
      </top>
      <bottom style="double">
        <color indexed="63"/>
      </bottom>
      <diagonal/>
    </border>
    <border>
      <left/>
      <right style="thin">
        <color indexed="22"/>
      </right>
      <top style="thin">
        <color indexed="22"/>
      </top>
      <bottom style="double">
        <color indexed="63"/>
      </bottom>
      <diagonal/>
    </border>
    <border>
      <left style="thin">
        <color indexed="22"/>
      </left>
      <right/>
      <top style="thin">
        <color indexed="22"/>
      </top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0">
    <xf numFmtId="0" fontId="0" fillId="0" borderId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14" applyNumberFormat="0" applyAlignment="0" applyProtection="0"/>
    <xf numFmtId="0" fontId="17" fillId="15" borderId="15" applyNumberFormat="0" applyAlignment="0" applyProtection="0"/>
    <xf numFmtId="0" fontId="18" fillId="16" borderId="0" applyNumberFormat="0" applyBorder="0" applyAlignment="0" applyProtection="0"/>
    <xf numFmtId="0" fontId="19" fillId="17" borderId="14" applyNumberFormat="0" applyAlignment="0" applyProtection="0"/>
    <xf numFmtId="0" fontId="20" fillId="18" borderId="0" applyNumberFormat="0" applyBorder="0" applyAlignment="0" applyProtection="0"/>
  </cellStyleXfs>
  <cellXfs count="76">
    <xf numFmtId="0" fontId="0" fillId="0" borderId="0" xfId="0"/>
    <xf numFmtId="0" fontId="17" fillId="15" borderId="15" xfId="6"/>
    <xf numFmtId="0" fontId="17" fillId="15" borderId="15" xfId="6" applyAlignment="1">
      <alignment wrapText="1"/>
    </xf>
    <xf numFmtId="0" fontId="16" fillId="14" borderId="14" xfId="5"/>
    <xf numFmtId="0" fontId="3" fillId="11" borderId="0" xfId="2" applyFont="1"/>
    <xf numFmtId="0" fontId="13" fillId="10" borderId="1" xfId="1" applyBorder="1"/>
    <xf numFmtId="0" fontId="8" fillId="18" borderId="0" xfId="9" applyFont="1"/>
    <xf numFmtId="0" fontId="8" fillId="16" borderId="0" xfId="7" applyFont="1"/>
    <xf numFmtId="0" fontId="2" fillId="12" borderId="0" xfId="3" applyFont="1"/>
    <xf numFmtId="2" fontId="16" fillId="14" borderId="14" xfId="5" applyNumberFormat="1"/>
    <xf numFmtId="2" fontId="8" fillId="18" borderId="0" xfId="9" applyNumberFormat="1" applyFont="1" applyAlignment="1">
      <alignment wrapText="1"/>
    </xf>
    <xf numFmtId="2" fontId="19" fillId="17" borderId="14" xfId="8" applyNumberFormat="1"/>
    <xf numFmtId="2" fontId="0" fillId="0" borderId="0" xfId="0" applyNumberFormat="1"/>
    <xf numFmtId="2" fontId="17" fillId="15" borderId="15" xfId="6" applyNumberFormat="1"/>
    <xf numFmtId="2" fontId="17" fillId="15" borderId="15" xfId="6" applyNumberFormat="1" applyAlignment="1">
      <alignment horizontal="center"/>
    </xf>
    <xf numFmtId="2" fontId="8" fillId="16" borderId="0" xfId="7" applyNumberFormat="1" applyFont="1"/>
    <xf numFmtId="0" fontId="16" fillId="2" borderId="14" xfId="5" applyFill="1"/>
    <xf numFmtId="0" fontId="16" fillId="2" borderId="2" xfId="5" applyFill="1" applyBorder="1"/>
    <xf numFmtId="0" fontId="16" fillId="3" borderId="3" xfId="5" applyFill="1" applyBorder="1"/>
    <xf numFmtId="0" fontId="17" fillId="15" borderId="4" xfId="6" applyBorder="1"/>
    <xf numFmtId="0" fontId="19" fillId="2" borderId="14" xfId="8" applyFill="1"/>
    <xf numFmtId="0" fontId="1" fillId="3" borderId="5" xfId="0" applyFont="1" applyFill="1" applyBorder="1"/>
    <xf numFmtId="0" fontId="19" fillId="3" borderId="14" xfId="8" applyFill="1"/>
    <xf numFmtId="0" fontId="8" fillId="14" borderId="14" xfId="5" applyFont="1"/>
    <xf numFmtId="0" fontId="5" fillId="0" borderId="0" xfId="0" applyFont="1"/>
    <xf numFmtId="0" fontId="0" fillId="4" borderId="0" xfId="0" applyFill="1"/>
    <xf numFmtId="0" fontId="3" fillId="4" borderId="0" xfId="0" applyFont="1" applyFill="1"/>
    <xf numFmtId="0" fontId="3" fillId="5" borderId="0" xfId="0" applyFont="1" applyFill="1"/>
    <xf numFmtId="0" fontId="3" fillId="2" borderId="0" xfId="0" applyFont="1" applyFill="1"/>
    <xf numFmtId="0" fontId="3" fillId="0" borderId="0" xfId="0" applyFont="1"/>
    <xf numFmtId="0" fontId="3" fillId="3" borderId="0" xfId="0" applyFont="1" applyFill="1"/>
    <xf numFmtId="0" fontId="3" fillId="6" borderId="0" xfId="0" applyFont="1" applyFill="1"/>
    <xf numFmtId="0" fontId="2" fillId="15" borderId="15" xfId="6" applyFont="1" applyAlignment="1">
      <alignment wrapText="1"/>
    </xf>
    <xf numFmtId="0" fontId="19" fillId="7" borderId="14" xfId="8" applyFill="1"/>
    <xf numFmtId="0" fontId="17" fillId="8" borderId="15" xfId="6" applyFill="1" applyAlignment="1">
      <alignment wrapText="1"/>
    </xf>
    <xf numFmtId="0" fontId="16" fillId="9" borderId="14" xfId="5" applyFill="1"/>
    <xf numFmtId="0" fontId="16" fillId="9" borderId="2" xfId="5" applyFill="1" applyBorder="1"/>
    <xf numFmtId="0" fontId="10" fillId="3" borderId="5" xfId="0" applyFont="1" applyFill="1" applyBorder="1"/>
    <xf numFmtId="0" fontId="16" fillId="3" borderId="5" xfId="5" applyFill="1" applyBorder="1"/>
    <xf numFmtId="0" fontId="11" fillId="3" borderId="5" xfId="5" applyFont="1" applyFill="1" applyBorder="1"/>
    <xf numFmtId="0" fontId="11" fillId="3" borderId="3" xfId="5" applyFont="1" applyFill="1" applyBorder="1"/>
    <xf numFmtId="164" fontId="13" fillId="10" borderId="1" xfId="1" applyNumberFormat="1" applyBorder="1"/>
    <xf numFmtId="0" fontId="13" fillId="0" borderId="0" xfId="1" applyFill="1" applyBorder="1"/>
    <xf numFmtId="0" fontId="16" fillId="0" borderId="0" xfId="5" applyFill="1" applyBorder="1"/>
    <xf numFmtId="164" fontId="13" fillId="10" borderId="6" xfId="1" applyNumberFormat="1" applyBorder="1"/>
    <xf numFmtId="164" fontId="0" fillId="0" borderId="0" xfId="0" applyNumberFormat="1"/>
    <xf numFmtId="164" fontId="16" fillId="14" borderId="14" xfId="5" applyNumberFormat="1"/>
    <xf numFmtId="0" fontId="0" fillId="0" borderId="0" xfId="1" applyFont="1" applyFill="1" applyBorder="1"/>
    <xf numFmtId="2" fontId="3" fillId="4" borderId="0" xfId="0" applyNumberFormat="1" applyFont="1" applyFill="1"/>
    <xf numFmtId="0" fontId="12" fillId="0" borderId="0" xfId="0" applyFont="1"/>
    <xf numFmtId="0" fontId="16" fillId="19" borderId="14" xfId="5" applyFill="1"/>
    <xf numFmtId="0" fontId="16" fillId="21" borderId="14" xfId="5" applyFill="1"/>
    <xf numFmtId="0" fontId="3" fillId="20" borderId="0" xfId="0" applyFont="1" applyFill="1"/>
    <xf numFmtId="0" fontId="16" fillId="22" borderId="14" xfId="5" applyFill="1"/>
    <xf numFmtId="0" fontId="16" fillId="22" borderId="2" xfId="5" applyFill="1" applyBorder="1"/>
    <xf numFmtId="0" fontId="16" fillId="23" borderId="14" xfId="5" applyFill="1"/>
    <xf numFmtId="0" fontId="16" fillId="23" borderId="2" xfId="5" applyFill="1" applyBorder="1"/>
    <xf numFmtId="164" fontId="16" fillId="19" borderId="14" xfId="5" applyNumberFormat="1" applyFill="1"/>
    <xf numFmtId="164" fontId="16" fillId="22" borderId="14" xfId="5" applyNumberFormat="1" applyFill="1"/>
    <xf numFmtId="164" fontId="16" fillId="22" borderId="2" xfId="5" applyNumberFormat="1" applyFill="1" applyBorder="1"/>
    <xf numFmtId="164" fontId="16" fillId="22" borderId="6" xfId="5" applyNumberFormat="1" applyFill="1" applyBorder="1"/>
    <xf numFmtId="164" fontId="16" fillId="22" borderId="7" xfId="5" applyNumberFormat="1" applyFill="1" applyBorder="1"/>
    <xf numFmtId="0" fontId="2" fillId="0" borderId="0" xfId="3" applyFont="1" applyFill="1"/>
    <xf numFmtId="0" fontId="0" fillId="21" borderId="0" xfId="0" applyFill="1"/>
    <xf numFmtId="0" fontId="0" fillId="24" borderId="0" xfId="0" applyFill="1"/>
    <xf numFmtId="0" fontId="8" fillId="13" borderId="0" xfId="4" applyFont="1" applyAlignment="1">
      <alignment horizontal="center"/>
    </xf>
    <xf numFmtId="0" fontId="13" fillId="10" borderId="8" xfId="1" applyBorder="1" applyAlignment="1">
      <alignment horizontal="center"/>
    </xf>
    <xf numFmtId="0" fontId="13" fillId="10" borderId="9" xfId="1" applyBorder="1" applyAlignment="1">
      <alignment horizontal="center"/>
    </xf>
    <xf numFmtId="0" fontId="4" fillId="16" borderId="10" xfId="7" applyFont="1" applyBorder="1" applyAlignment="1">
      <alignment horizontal="center"/>
    </xf>
    <xf numFmtId="0" fontId="4" fillId="16" borderId="11" xfId="7" applyFont="1" applyBorder="1" applyAlignment="1">
      <alignment horizontal="center"/>
    </xf>
    <xf numFmtId="0" fontId="6" fillId="18" borderId="12" xfId="9" applyFont="1" applyBorder="1" applyAlignment="1">
      <alignment horizontal="center"/>
    </xf>
    <xf numFmtId="0" fontId="6" fillId="18" borderId="11" xfId="9" applyFont="1" applyBorder="1" applyAlignment="1">
      <alignment horizontal="center"/>
    </xf>
    <xf numFmtId="0" fontId="4" fillId="16" borderId="0" xfId="7" applyFont="1" applyAlignment="1">
      <alignment horizontal="center"/>
    </xf>
    <xf numFmtId="0" fontId="6" fillId="18" borderId="0" xfId="9" applyFont="1" applyAlignment="1">
      <alignment horizontal="center"/>
    </xf>
    <xf numFmtId="2" fontId="4" fillId="16" borderId="0" xfId="7" applyNumberFormat="1" applyFont="1" applyAlignment="1">
      <alignment horizontal="center"/>
    </xf>
    <xf numFmtId="2" fontId="6" fillId="18" borderId="13" xfId="9" applyNumberFormat="1" applyFont="1" applyBorder="1" applyAlignment="1">
      <alignment horizontal="center"/>
    </xf>
  </cellXfs>
  <cellStyles count="10">
    <cellStyle name="20% - Accent6" xfId="1" builtinId="50"/>
    <cellStyle name="40% - Accent4" xfId="2" builtinId="43"/>
    <cellStyle name="Accent6" xfId="3" builtinId="49"/>
    <cellStyle name="Bad" xfId="4" builtinId="27"/>
    <cellStyle name="Calculation" xfId="5" builtinId="22"/>
    <cellStyle name="Check Cell" xfId="6" builtinId="23"/>
    <cellStyle name="Good" xfId="7" builtinId="26"/>
    <cellStyle name="Input" xfId="8" builtinId="20"/>
    <cellStyle name="Neutral" xfId="9" builtinId="28"/>
    <cellStyle name="Normal" xfId="0" builtinId="0"/>
  </cellStyles>
  <dxfs count="0"/>
  <tableStyles count="0" defaultTableStyle="TableStyleMedium2" defaultPivotStyle="PivotStyleLight16"/>
  <colors>
    <mruColors>
      <color rgb="FFCCFFCC"/>
      <color rgb="FF99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Fitted</a:t>
            </a:r>
            <a:r>
              <a:rPr lang="en-GB" baseline="0"/>
              <a:t> Time - Activity Curves: Case 1 (All Time Points)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'Case 1 - full'!$A$9:$B$9</c:f>
              <c:strCache>
                <c:ptCount val="1"/>
                <c:pt idx="0">
                  <c:v>Raw A -T Data</c:v>
                </c:pt>
              </c:strCache>
            </c:strRef>
          </c:tx>
          <c:spPr>
            <a:ln w="25400">
              <a:solidFill>
                <a:schemeClr val="accent4">
                  <a:lumMod val="60000"/>
                  <a:lumOff val="40000"/>
                </a:schemeClr>
              </a:solidFill>
            </a:ln>
          </c:spPr>
          <c:xVal>
            <c:numRef>
              <c:f>'Case 1 - full'!$A$11:$A$36</c:f>
              <c:numCache>
                <c:formatCode>General</c:formatCode>
                <c:ptCount val="26"/>
                <c:pt idx="0">
                  <c:v>0</c:v>
                </c:pt>
                <c:pt idx="1">
                  <c:v>1.42</c:v>
                </c:pt>
                <c:pt idx="2">
                  <c:v>5.1300000000000008</c:v>
                </c:pt>
                <c:pt idx="3">
                  <c:v>6.95</c:v>
                </c:pt>
                <c:pt idx="4">
                  <c:v>10.030000000000001</c:v>
                </c:pt>
                <c:pt idx="5">
                  <c:v>12.780000000000001</c:v>
                </c:pt>
                <c:pt idx="6">
                  <c:v>21.779999999999998</c:v>
                </c:pt>
                <c:pt idx="7">
                  <c:v>25.22</c:v>
                </c:pt>
                <c:pt idx="8">
                  <c:v>28.619999999999997</c:v>
                </c:pt>
                <c:pt idx="9">
                  <c:v>30.919999999999998</c:v>
                </c:pt>
                <c:pt idx="10">
                  <c:v>36.78</c:v>
                </c:pt>
                <c:pt idx="11">
                  <c:v>46.03</c:v>
                </c:pt>
                <c:pt idx="12">
                  <c:v>47.97</c:v>
                </c:pt>
                <c:pt idx="13">
                  <c:v>50.379999999999995</c:v>
                </c:pt>
                <c:pt idx="14">
                  <c:v>54.25</c:v>
                </c:pt>
                <c:pt idx="15">
                  <c:v>57.62</c:v>
                </c:pt>
                <c:pt idx="16">
                  <c:v>59.28</c:v>
                </c:pt>
                <c:pt idx="17">
                  <c:v>69.78</c:v>
                </c:pt>
                <c:pt idx="18">
                  <c:v>74.28</c:v>
                </c:pt>
                <c:pt idx="19">
                  <c:v>80.78</c:v>
                </c:pt>
                <c:pt idx="20">
                  <c:v>84.95</c:v>
                </c:pt>
                <c:pt idx="21">
                  <c:v>93.62</c:v>
                </c:pt>
                <c:pt idx="22">
                  <c:v>99.28</c:v>
                </c:pt>
                <c:pt idx="23">
                  <c:v>104.28</c:v>
                </c:pt>
                <c:pt idx="24">
                  <c:v>109.2</c:v>
                </c:pt>
                <c:pt idx="25">
                  <c:v>121.55000000000001</c:v>
                </c:pt>
              </c:numCache>
            </c:numRef>
          </c:xVal>
          <c:yVal>
            <c:numRef>
              <c:f>'Case 1 - full'!$B$11:$B$36</c:f>
              <c:numCache>
                <c:formatCode>General</c:formatCode>
                <c:ptCount val="26"/>
                <c:pt idx="0">
                  <c:v>5495.91</c:v>
                </c:pt>
                <c:pt idx="1">
                  <c:v>5468.01</c:v>
                </c:pt>
                <c:pt idx="2">
                  <c:v>4382.79</c:v>
                </c:pt>
                <c:pt idx="3">
                  <c:v>3953.04</c:v>
                </c:pt>
                <c:pt idx="4">
                  <c:v>3249.65</c:v>
                </c:pt>
                <c:pt idx="5">
                  <c:v>3011.6</c:v>
                </c:pt>
                <c:pt idx="6">
                  <c:v>2350.73</c:v>
                </c:pt>
                <c:pt idx="7">
                  <c:v>2114.79</c:v>
                </c:pt>
                <c:pt idx="8">
                  <c:v>1781.49</c:v>
                </c:pt>
                <c:pt idx="9">
                  <c:v>1663.3</c:v>
                </c:pt>
                <c:pt idx="10">
                  <c:v>1348.53</c:v>
                </c:pt>
                <c:pt idx="11">
                  <c:v>1343.48</c:v>
                </c:pt>
                <c:pt idx="12">
                  <c:v>1101.18</c:v>
                </c:pt>
                <c:pt idx="13">
                  <c:v>1061.6500000000001</c:v>
                </c:pt>
                <c:pt idx="14">
                  <c:v>935.72</c:v>
                </c:pt>
                <c:pt idx="15">
                  <c:v>899.06</c:v>
                </c:pt>
                <c:pt idx="16">
                  <c:v>819.25</c:v>
                </c:pt>
                <c:pt idx="17">
                  <c:v>678.18</c:v>
                </c:pt>
                <c:pt idx="18">
                  <c:v>634.77</c:v>
                </c:pt>
                <c:pt idx="19">
                  <c:v>602.16</c:v>
                </c:pt>
                <c:pt idx="20">
                  <c:v>542.04</c:v>
                </c:pt>
                <c:pt idx="21">
                  <c:v>480.25</c:v>
                </c:pt>
                <c:pt idx="22">
                  <c:v>420.46</c:v>
                </c:pt>
                <c:pt idx="23">
                  <c:v>413.1</c:v>
                </c:pt>
                <c:pt idx="24">
                  <c:v>401.77</c:v>
                </c:pt>
                <c:pt idx="25">
                  <c:v>338.04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8F-49EB-8BFC-9D88F2C6A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735552"/>
        <c:axId val="114922624"/>
      </c:scatterChart>
      <c:scatterChart>
        <c:scatterStyle val="smoothMarker"/>
        <c:varyColors val="0"/>
        <c:ser>
          <c:idx val="1"/>
          <c:order val="1"/>
          <c:tx>
            <c:strRef>
              <c:f>'Case 1 - full'!$C$9:$D$9</c:f>
              <c:strCache>
                <c:ptCount val="1"/>
                <c:pt idx="0">
                  <c:v>Mono-exponential fit curve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'Case 1 - full'!$A$11:$A$36</c:f>
              <c:numCache>
                <c:formatCode>General</c:formatCode>
                <c:ptCount val="26"/>
                <c:pt idx="0">
                  <c:v>0</c:v>
                </c:pt>
                <c:pt idx="1">
                  <c:v>1.42</c:v>
                </c:pt>
                <c:pt idx="2">
                  <c:v>5.1300000000000008</c:v>
                </c:pt>
                <c:pt idx="3">
                  <c:v>6.95</c:v>
                </c:pt>
                <c:pt idx="4">
                  <c:v>10.030000000000001</c:v>
                </c:pt>
                <c:pt idx="5">
                  <c:v>12.780000000000001</c:v>
                </c:pt>
                <c:pt idx="6">
                  <c:v>21.779999999999998</c:v>
                </c:pt>
                <c:pt idx="7">
                  <c:v>25.22</c:v>
                </c:pt>
                <c:pt idx="8">
                  <c:v>28.619999999999997</c:v>
                </c:pt>
                <c:pt idx="9">
                  <c:v>30.919999999999998</c:v>
                </c:pt>
                <c:pt idx="10">
                  <c:v>36.78</c:v>
                </c:pt>
                <c:pt idx="11">
                  <c:v>46.03</c:v>
                </c:pt>
                <c:pt idx="12">
                  <c:v>47.97</c:v>
                </c:pt>
                <c:pt idx="13">
                  <c:v>50.379999999999995</c:v>
                </c:pt>
                <c:pt idx="14">
                  <c:v>54.25</c:v>
                </c:pt>
                <c:pt idx="15">
                  <c:v>57.62</c:v>
                </c:pt>
                <c:pt idx="16">
                  <c:v>59.28</c:v>
                </c:pt>
                <c:pt idx="17">
                  <c:v>69.78</c:v>
                </c:pt>
                <c:pt idx="18">
                  <c:v>74.28</c:v>
                </c:pt>
                <c:pt idx="19">
                  <c:v>80.78</c:v>
                </c:pt>
                <c:pt idx="20">
                  <c:v>84.95</c:v>
                </c:pt>
                <c:pt idx="21">
                  <c:v>93.62</c:v>
                </c:pt>
                <c:pt idx="22">
                  <c:v>99.28</c:v>
                </c:pt>
                <c:pt idx="23">
                  <c:v>104.28</c:v>
                </c:pt>
                <c:pt idx="24">
                  <c:v>109.2</c:v>
                </c:pt>
                <c:pt idx="25">
                  <c:v>121.55000000000001</c:v>
                </c:pt>
              </c:numCache>
            </c:numRef>
          </c:xVal>
          <c:yVal>
            <c:numRef>
              <c:f>'Case 1 - full'!$C$11:$C$36</c:f>
              <c:numCache>
                <c:formatCode>General</c:formatCode>
                <c:ptCount val="26"/>
                <c:pt idx="0">
                  <c:v>5495.91</c:v>
                </c:pt>
                <c:pt idx="1">
                  <c:v>5318.5207633795899</c:v>
                </c:pt>
                <c:pt idx="2">
                  <c:v>4881.6145295382312</c:v>
                </c:pt>
                <c:pt idx="3">
                  <c:v>4680.5942689374333</c:v>
                </c:pt>
                <c:pt idx="4">
                  <c:v>4359.0841234817171</c:v>
                </c:pt>
                <c:pt idx="5">
                  <c:v>4090.7301721611684</c:v>
                </c:pt>
                <c:pt idx="6">
                  <c:v>3322.7053851846654</c:v>
                </c:pt>
                <c:pt idx="7">
                  <c:v>3068.8363462919351</c:v>
                </c:pt>
                <c:pt idx="8">
                  <c:v>2836.9847175738519</c:v>
                </c:pt>
                <c:pt idx="9">
                  <c:v>2690.1594989421073</c:v>
                </c:pt>
                <c:pt idx="10">
                  <c:v>2349.5075097491358</c:v>
                </c:pt>
                <c:pt idx="11">
                  <c:v>1897.4015695761002</c:v>
                </c:pt>
                <c:pt idx="12">
                  <c:v>1814.2312740406876</c:v>
                </c:pt>
                <c:pt idx="13">
                  <c:v>1715.9708504766654</c:v>
                </c:pt>
                <c:pt idx="14">
                  <c:v>1569.1954373603658</c:v>
                </c:pt>
                <c:pt idx="15">
                  <c:v>1451.6480459794623</c:v>
                </c:pt>
                <c:pt idx="16">
                  <c:v>1397.0255236729988</c:v>
                </c:pt>
                <c:pt idx="17">
                  <c:v>1096.0840102297157</c:v>
                </c:pt>
                <c:pt idx="18">
                  <c:v>987.84622127986529</c:v>
                </c:pt>
                <c:pt idx="19">
                  <c:v>850.09248549876838</c:v>
                </c:pt>
                <c:pt idx="20">
                  <c:v>772.01014562265198</c:v>
                </c:pt>
                <c:pt idx="21">
                  <c:v>631.86651206756926</c:v>
                </c:pt>
                <c:pt idx="22">
                  <c:v>554.40994647623575</c:v>
                </c:pt>
                <c:pt idx="23">
                  <c:v>493.92311063993259</c:v>
                </c:pt>
                <c:pt idx="24">
                  <c:v>440.84957654218374</c:v>
                </c:pt>
                <c:pt idx="25">
                  <c:v>331.41061380544284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08F-49EB-8BFC-9D88F2C6AA76}"/>
            </c:ext>
          </c:extLst>
        </c:ser>
        <c:ser>
          <c:idx val="2"/>
          <c:order val="2"/>
          <c:tx>
            <c:strRef>
              <c:f>'Case 1 - full'!$E$9:$F$9</c:f>
              <c:strCache>
                <c:ptCount val="1"/>
                <c:pt idx="0">
                  <c:v>Bi-exponential fit curve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'Case 1 - full'!$A$11:$A$36</c:f>
              <c:numCache>
                <c:formatCode>General</c:formatCode>
                <c:ptCount val="26"/>
                <c:pt idx="0">
                  <c:v>0</c:v>
                </c:pt>
                <c:pt idx="1">
                  <c:v>1.42</c:v>
                </c:pt>
                <c:pt idx="2">
                  <c:v>5.1300000000000008</c:v>
                </c:pt>
                <c:pt idx="3">
                  <c:v>6.95</c:v>
                </c:pt>
                <c:pt idx="4">
                  <c:v>10.030000000000001</c:v>
                </c:pt>
                <c:pt idx="5">
                  <c:v>12.780000000000001</c:v>
                </c:pt>
                <c:pt idx="6">
                  <c:v>21.779999999999998</c:v>
                </c:pt>
                <c:pt idx="7">
                  <c:v>25.22</c:v>
                </c:pt>
                <c:pt idx="8">
                  <c:v>28.619999999999997</c:v>
                </c:pt>
                <c:pt idx="9">
                  <c:v>30.919999999999998</c:v>
                </c:pt>
                <c:pt idx="10">
                  <c:v>36.78</c:v>
                </c:pt>
                <c:pt idx="11">
                  <c:v>46.03</c:v>
                </c:pt>
                <c:pt idx="12">
                  <c:v>47.97</c:v>
                </c:pt>
                <c:pt idx="13">
                  <c:v>50.379999999999995</c:v>
                </c:pt>
                <c:pt idx="14">
                  <c:v>54.25</c:v>
                </c:pt>
                <c:pt idx="15">
                  <c:v>57.62</c:v>
                </c:pt>
                <c:pt idx="16">
                  <c:v>59.28</c:v>
                </c:pt>
                <c:pt idx="17">
                  <c:v>69.78</c:v>
                </c:pt>
                <c:pt idx="18">
                  <c:v>74.28</c:v>
                </c:pt>
                <c:pt idx="19">
                  <c:v>80.78</c:v>
                </c:pt>
                <c:pt idx="20">
                  <c:v>84.95</c:v>
                </c:pt>
                <c:pt idx="21">
                  <c:v>93.62</c:v>
                </c:pt>
                <c:pt idx="22">
                  <c:v>99.28</c:v>
                </c:pt>
                <c:pt idx="23">
                  <c:v>104.28</c:v>
                </c:pt>
                <c:pt idx="24">
                  <c:v>109.2</c:v>
                </c:pt>
                <c:pt idx="25">
                  <c:v>121.55000000000001</c:v>
                </c:pt>
              </c:numCache>
            </c:numRef>
          </c:xVal>
          <c:yVal>
            <c:numRef>
              <c:f>'Case 1 - full'!$E$11:$E$36</c:f>
              <c:numCache>
                <c:formatCode>General</c:formatCode>
                <c:ptCount val="26"/>
                <c:pt idx="0">
                  <c:v>5495.91</c:v>
                </c:pt>
                <c:pt idx="1">
                  <c:v>4168.6419041551353</c:v>
                </c:pt>
                <c:pt idx="2">
                  <c:v>2561.1069133640262</c:v>
                </c:pt>
                <c:pt idx="3">
                  <c:v>2223.0343280610737</c:v>
                </c:pt>
                <c:pt idx="4">
                  <c:v>1899.8894418462885</c:v>
                </c:pt>
                <c:pt idx="5">
                  <c:v>1727.7613593355243</c:v>
                </c:pt>
                <c:pt idx="6">
                  <c:v>1373.8306589959393</c:v>
                </c:pt>
                <c:pt idx="7">
                  <c:v>1267.8098757811526</c:v>
                </c:pt>
                <c:pt idx="8">
                  <c:v>1171.7081573875637</c:v>
                </c:pt>
                <c:pt idx="9">
                  <c:v>1110.9885657944512</c:v>
                </c:pt>
                <c:pt idx="10">
                  <c:v>970.2521617779388</c:v>
                </c:pt>
                <c:pt idx="11">
                  <c:v>783.54337684202426</c:v>
                </c:pt>
                <c:pt idx="12">
                  <c:v>749.19753402070307</c:v>
                </c:pt>
                <c:pt idx="13">
                  <c:v>708.62021149278019</c:v>
                </c:pt>
                <c:pt idx="14">
                  <c:v>648.00839008897071</c:v>
                </c:pt>
                <c:pt idx="15">
                  <c:v>599.46649704265906</c:v>
                </c:pt>
                <c:pt idx="16">
                  <c:v>576.90980626868077</c:v>
                </c:pt>
                <c:pt idx="17">
                  <c:v>452.63425699477551</c:v>
                </c:pt>
                <c:pt idx="18">
                  <c:v>407.93683344002341</c:v>
                </c:pt>
                <c:pt idx="19">
                  <c:v>351.05062830561934</c:v>
                </c:pt>
                <c:pt idx="20">
                  <c:v>318.80607263438412</c:v>
                </c:pt>
                <c:pt idx="21">
                  <c:v>260.93294535483693</c:v>
                </c:pt>
                <c:pt idx="22">
                  <c:v>228.94680681001137</c:v>
                </c:pt>
                <c:pt idx="23">
                  <c:v>203.96841670936044</c:v>
                </c:pt>
                <c:pt idx="24">
                  <c:v>182.05139261007727</c:v>
                </c:pt>
                <c:pt idx="25">
                  <c:v>136.85793744494649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08F-49EB-8BFC-9D88F2C6A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735552"/>
        <c:axId val="114922624"/>
      </c:scatterChart>
      <c:valAx>
        <c:axId val="115735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After Administration (Hours)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4922624"/>
        <c:crosses val="autoZero"/>
        <c:crossBetween val="midCat"/>
      </c:valAx>
      <c:valAx>
        <c:axId val="1149226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Activity</a:t>
                </a:r>
                <a:r>
                  <a:rPr lang="en-GB" baseline="0"/>
                  <a:t> (MBq)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1573555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3233744237315479"/>
          <c:y val="0.44781292026028607"/>
          <c:w val="0.25543495207078493"/>
          <c:h val="0.242425039539403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 i="0" baseline="0">
                <a:effectLst/>
              </a:rPr>
              <a:t>All points vs 24 hour interval (</a:t>
            </a:r>
            <a:r>
              <a:rPr lang="en-GB" sz="1800" b="1" i="0" baseline="0">
                <a:effectLst/>
                <a:latin typeface="Calibri"/>
                <a:cs typeface="Calibri"/>
              </a:rPr>
              <a:t>Ã</a:t>
            </a:r>
            <a:r>
              <a:rPr lang="en-GB" sz="1800" b="1" i="0" baseline="0">
                <a:effectLst/>
              </a:rPr>
              <a:t>, Bi fit)</a:t>
            </a:r>
            <a:endParaRPr lang="en-GB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'Case 1 - Fit Comparsions'!$B$33</c:f>
              <c:strCache>
                <c:ptCount val="1"/>
                <c:pt idx="0">
                  <c:v>Bi-exp Ã All Points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'Case 1 - Fit Comparsions'!$B$34</c:f>
              <c:numCache>
                <c:formatCode>0.00</c:formatCode>
                <c:ptCount val="1"/>
                <c:pt idx="0">
                  <c:v>107538.08809555139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0C-41DB-AE5B-A6C0CF6D5C08}"/>
            </c:ext>
          </c:extLst>
        </c:ser>
        <c:ser>
          <c:idx val="1"/>
          <c:order val="1"/>
          <c:tx>
            <c:strRef>
              <c:f>'Case 1 - Fit Comparsions'!$D$33</c:f>
              <c:strCache>
                <c:ptCount val="1"/>
                <c:pt idx="0">
                  <c:v>Bi-exp Ã 24 hour interval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C000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'Case 1 - Fit Comparsions'!$D$34</c:f>
              <c:numCache>
                <c:formatCode>0.00</c:formatCode>
                <c:ptCount val="1"/>
                <c:pt idx="0">
                  <c:v>126862.75363475301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0C-41DB-AE5B-A6C0CF6D5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381056"/>
        <c:axId val="122382592"/>
      </c:barChart>
      <c:catAx>
        <c:axId val="12238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2382592"/>
        <c:crosses val="autoZero"/>
        <c:auto val="1"/>
        <c:lblAlgn val="ctr"/>
        <c:lblOffset val="100"/>
        <c:noMultiLvlLbl val="0"/>
      </c:catAx>
      <c:valAx>
        <c:axId val="122382592"/>
        <c:scaling>
          <c:orientation val="minMax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2381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789889396121207"/>
          <c:y val="0.48148320966052088"/>
          <c:w val="0.30350214977991574"/>
          <c:h val="0.19753172828705057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Fitted</a:t>
            </a:r>
            <a:r>
              <a:rPr lang="en-GB" baseline="0"/>
              <a:t> Time - Activity Curves: Case 2 (All Time Points)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'Case 2 - full '!$A$9:$B$9</c:f>
              <c:strCache>
                <c:ptCount val="1"/>
                <c:pt idx="0">
                  <c:v>Raw A -T Data</c:v>
                </c:pt>
              </c:strCache>
            </c:strRef>
          </c:tx>
          <c:spPr>
            <a:ln w="25400">
              <a:solidFill>
                <a:schemeClr val="accent4">
                  <a:lumMod val="60000"/>
                  <a:lumOff val="40000"/>
                </a:schemeClr>
              </a:solidFill>
            </a:ln>
          </c:spPr>
          <c:xVal>
            <c:numRef>
              <c:f>'Case 2 - full '!$A$11:$A$28</c:f>
              <c:numCache>
                <c:formatCode>General</c:formatCode>
                <c:ptCount val="18"/>
                <c:pt idx="0">
                  <c:v>0</c:v>
                </c:pt>
                <c:pt idx="1">
                  <c:v>5.58</c:v>
                </c:pt>
                <c:pt idx="2">
                  <c:v>19</c:v>
                </c:pt>
                <c:pt idx="3">
                  <c:v>25.58</c:v>
                </c:pt>
                <c:pt idx="4">
                  <c:v>29.419999999999998</c:v>
                </c:pt>
                <c:pt idx="5">
                  <c:v>41.67</c:v>
                </c:pt>
                <c:pt idx="6">
                  <c:v>45.830000000000005</c:v>
                </c:pt>
                <c:pt idx="7">
                  <c:v>48.75</c:v>
                </c:pt>
                <c:pt idx="8">
                  <c:v>66.67</c:v>
                </c:pt>
                <c:pt idx="9">
                  <c:v>68.58</c:v>
                </c:pt>
              </c:numCache>
            </c:numRef>
          </c:xVal>
          <c:yVal>
            <c:numRef>
              <c:f>'Case 2 - full '!$B$11:$B$28</c:f>
              <c:numCache>
                <c:formatCode>General</c:formatCode>
                <c:ptCount val="18"/>
                <c:pt idx="0">
                  <c:v>5823.05</c:v>
                </c:pt>
                <c:pt idx="1">
                  <c:v>4994.4799999999996</c:v>
                </c:pt>
                <c:pt idx="2">
                  <c:v>2474.5</c:v>
                </c:pt>
                <c:pt idx="3">
                  <c:v>1874.15</c:v>
                </c:pt>
                <c:pt idx="4">
                  <c:v>1723.02</c:v>
                </c:pt>
                <c:pt idx="5">
                  <c:v>993.07</c:v>
                </c:pt>
                <c:pt idx="6">
                  <c:v>908.13</c:v>
                </c:pt>
                <c:pt idx="7">
                  <c:v>770.75</c:v>
                </c:pt>
                <c:pt idx="8">
                  <c:v>376.99</c:v>
                </c:pt>
                <c:pt idx="9">
                  <c:v>379.38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36-4942-8237-16EE8E8C9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886528"/>
        <c:axId val="120610816"/>
      </c:scatterChart>
      <c:scatterChart>
        <c:scatterStyle val="smoothMarker"/>
        <c:varyColors val="0"/>
        <c:ser>
          <c:idx val="1"/>
          <c:order val="1"/>
          <c:tx>
            <c:strRef>
              <c:f>'Case 2 - full '!$C$9:$D$9</c:f>
              <c:strCache>
                <c:ptCount val="1"/>
                <c:pt idx="0">
                  <c:v>Mono-exponential fit curve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'Case 2 - full '!$A$11:$A$28</c:f>
              <c:numCache>
                <c:formatCode>General</c:formatCode>
                <c:ptCount val="18"/>
                <c:pt idx="0">
                  <c:v>0</c:v>
                </c:pt>
                <c:pt idx="1">
                  <c:v>5.58</c:v>
                </c:pt>
                <c:pt idx="2">
                  <c:v>19</c:v>
                </c:pt>
                <c:pt idx="3">
                  <c:v>25.58</c:v>
                </c:pt>
                <c:pt idx="4">
                  <c:v>29.419999999999998</c:v>
                </c:pt>
                <c:pt idx="5">
                  <c:v>41.67</c:v>
                </c:pt>
                <c:pt idx="6">
                  <c:v>45.830000000000005</c:v>
                </c:pt>
                <c:pt idx="7">
                  <c:v>48.75</c:v>
                </c:pt>
                <c:pt idx="8">
                  <c:v>66.67</c:v>
                </c:pt>
                <c:pt idx="9">
                  <c:v>68.58</c:v>
                </c:pt>
              </c:numCache>
            </c:numRef>
          </c:xVal>
          <c:yVal>
            <c:numRef>
              <c:f>'Case 2 - full '!$C$11:$C$28</c:f>
              <c:numCache>
                <c:formatCode>General</c:formatCode>
                <c:ptCount val="18"/>
                <c:pt idx="0">
                  <c:v>5823.05</c:v>
                </c:pt>
                <c:pt idx="1">
                  <c:v>5118.6913151673816</c:v>
                </c:pt>
                <c:pt idx="2">
                  <c:v>3754.0338872795455</c:v>
                </c:pt>
                <c:pt idx="3">
                  <c:v>3224.5734679467282</c:v>
                </c:pt>
                <c:pt idx="4">
                  <c:v>2950.8044980854406</c:v>
                </c:pt>
                <c:pt idx="5">
                  <c:v>2223.4115391250143</c:v>
                </c:pt>
                <c:pt idx="6">
                  <c:v>2019.6542565138725</c:v>
                </c:pt>
                <c:pt idx="7">
                  <c:v>1887.8903921776407</c:v>
                </c:pt>
                <c:pt idx="8">
                  <c:v>1247.8475352204798</c:v>
                </c:pt>
                <c:pt idx="9">
                  <c:v>1193.9769676360245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A36-4942-8237-16EE8E8C97D8}"/>
            </c:ext>
          </c:extLst>
        </c:ser>
        <c:ser>
          <c:idx val="2"/>
          <c:order val="2"/>
          <c:tx>
            <c:strRef>
              <c:f>'Case 2 - full '!$E$9:$F$9</c:f>
              <c:strCache>
                <c:ptCount val="1"/>
                <c:pt idx="0">
                  <c:v>Bi-exponential fit curve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'Case 2 - full '!$A$11:$A$28</c:f>
              <c:numCache>
                <c:formatCode>General</c:formatCode>
                <c:ptCount val="18"/>
                <c:pt idx="0">
                  <c:v>0</c:v>
                </c:pt>
                <c:pt idx="1">
                  <c:v>5.58</c:v>
                </c:pt>
                <c:pt idx="2">
                  <c:v>19</c:v>
                </c:pt>
                <c:pt idx="3">
                  <c:v>25.58</c:v>
                </c:pt>
                <c:pt idx="4">
                  <c:v>29.419999999999998</c:v>
                </c:pt>
                <c:pt idx="5">
                  <c:v>41.67</c:v>
                </c:pt>
                <c:pt idx="6">
                  <c:v>45.830000000000005</c:v>
                </c:pt>
                <c:pt idx="7">
                  <c:v>48.75</c:v>
                </c:pt>
                <c:pt idx="8">
                  <c:v>66.67</c:v>
                </c:pt>
                <c:pt idx="9">
                  <c:v>68.58</c:v>
                </c:pt>
              </c:numCache>
            </c:numRef>
          </c:xVal>
          <c:yVal>
            <c:numRef>
              <c:f>'Case 2 - full '!$E$11:$E$28</c:f>
              <c:numCache>
                <c:formatCode>General</c:formatCode>
                <c:ptCount val="18"/>
                <c:pt idx="0">
                  <c:v>5823.05</c:v>
                </c:pt>
                <c:pt idx="1">
                  <c:v>2980.3114781642962</c:v>
                </c:pt>
                <c:pt idx="2">
                  <c:v>1881.0379574505037</c:v>
                </c:pt>
                <c:pt idx="3">
                  <c:v>1612.6978334075247</c:v>
                </c:pt>
                <c:pt idx="4">
                  <c:v>1475.5108839223133</c:v>
                </c:pt>
                <c:pt idx="5">
                  <c:v>1111.7073261035043</c:v>
                </c:pt>
                <c:pt idx="6">
                  <c:v>1009.8274964013144</c:v>
                </c:pt>
                <c:pt idx="7">
                  <c:v>943.94532990677237</c:v>
                </c:pt>
                <c:pt idx="8">
                  <c:v>623.92376787895103</c:v>
                </c:pt>
                <c:pt idx="9">
                  <c:v>596.98848395662458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A36-4942-8237-16EE8E8C9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886528"/>
        <c:axId val="120610816"/>
      </c:scatterChart>
      <c:valAx>
        <c:axId val="114886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After Administration (Hours)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0610816"/>
        <c:crosses val="autoZero"/>
        <c:crossBetween val="midCat"/>
      </c:valAx>
      <c:valAx>
        <c:axId val="1206108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Activity</a:t>
                </a:r>
                <a:r>
                  <a:rPr lang="en-GB" baseline="0"/>
                  <a:t> (MBq)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148865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>
                <a:latin typeface="Calibri"/>
                <a:cs typeface="Calibri"/>
              </a:rPr>
              <a:t>Ã Comparison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'Case 2 - full '!$C$32</c:f>
              <c:strCache>
                <c:ptCount val="1"/>
                <c:pt idx="0">
                  <c:v>Mono -exp Ã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'Case 2 - full '!$A$2:$C$2</c:f>
              <c:strCache>
                <c:ptCount val="1"/>
                <c:pt idx="0">
                  <c:v>Methods of Cumulative Activity (Ã) Estimation</c:v>
                </c:pt>
              </c:strCache>
            </c:strRef>
          </c:cat>
          <c:val>
            <c:numRef>
              <c:f>'Case 2 - full '!$C$33</c:f>
              <c:numCache>
                <c:formatCode>General</c:formatCode>
                <c:ptCount val="1"/>
                <c:pt idx="0">
                  <c:v>252079.8345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4-4827-914B-3E991A0F1B31}"/>
            </c:ext>
          </c:extLst>
        </c:ser>
        <c:ser>
          <c:idx val="1"/>
          <c:order val="1"/>
          <c:tx>
            <c:strRef>
              <c:f>'Case 2 - full '!$E$32</c:f>
              <c:strCache>
                <c:ptCount val="1"/>
                <c:pt idx="0">
                  <c:v>Bi-exp Ã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'Case 2 - full '!$A$2:$C$2</c:f>
              <c:strCache>
                <c:ptCount val="1"/>
                <c:pt idx="0">
                  <c:v>Methods of Cumulative Activity (Ã) Estimation</c:v>
                </c:pt>
              </c:strCache>
            </c:strRef>
          </c:cat>
          <c:val>
            <c:numRef>
              <c:f>'Case 2 - full '!$E$33</c:f>
              <c:numCache>
                <c:formatCode>General</c:formatCode>
                <c:ptCount val="1"/>
                <c:pt idx="0">
                  <c:v>134414.16572557567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E4-4827-914B-3E991A0F1B31}"/>
            </c:ext>
          </c:extLst>
        </c:ser>
        <c:ser>
          <c:idx val="2"/>
          <c:order val="2"/>
          <c:tx>
            <c:strRef>
              <c:f>'Case 2 - full '!$H$32</c:f>
              <c:strCache>
                <c:ptCount val="1"/>
                <c:pt idx="0">
                  <c:v>Trapezoid Ã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'Case 2 - full '!$A$2:$C$2</c:f>
              <c:strCache>
                <c:ptCount val="1"/>
                <c:pt idx="0">
                  <c:v>Methods of Cumulative Activity (Ã) Estimation</c:v>
                </c:pt>
              </c:strCache>
            </c:strRef>
          </c:cat>
          <c:val>
            <c:numRef>
              <c:f>'Case 2 - full '!$H$33</c:f>
              <c:numCache>
                <c:formatCode>General</c:formatCode>
                <c:ptCount val="1"/>
                <c:pt idx="0">
                  <c:v>151948.40119999996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E4-4827-914B-3E991A0F1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642560"/>
        <c:axId val="120644352"/>
      </c:barChart>
      <c:catAx>
        <c:axId val="12064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20644352"/>
        <c:crosses val="autoZero"/>
        <c:auto val="1"/>
        <c:lblAlgn val="ctr"/>
        <c:lblOffset val="100"/>
        <c:noMultiLvlLbl val="0"/>
      </c:catAx>
      <c:valAx>
        <c:axId val="12064435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Cumulative Activity (MBq.Hrs)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206425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Fitted</a:t>
            </a:r>
            <a:r>
              <a:rPr lang="en-GB" baseline="0"/>
              <a:t> Time - Activity Curves: Case 2 (24 hour Interval)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'Case 2 - 24 hours'!$A$9:$B$9</c:f>
              <c:strCache>
                <c:ptCount val="1"/>
                <c:pt idx="0">
                  <c:v>Raw A -T Data</c:v>
                </c:pt>
              </c:strCache>
            </c:strRef>
          </c:tx>
          <c:spPr>
            <a:ln w="25400">
              <a:solidFill>
                <a:schemeClr val="accent4">
                  <a:lumMod val="60000"/>
                  <a:lumOff val="40000"/>
                </a:schemeClr>
              </a:solidFill>
            </a:ln>
          </c:spPr>
          <c:xVal>
            <c:numRef>
              <c:f>'Case 2 - 24 hours'!$A$11:$A$19</c:f>
              <c:numCache>
                <c:formatCode>General</c:formatCode>
                <c:ptCount val="9"/>
                <c:pt idx="0">
                  <c:v>0.05</c:v>
                </c:pt>
                <c:pt idx="1">
                  <c:v>25.63</c:v>
                </c:pt>
                <c:pt idx="2">
                  <c:v>48.8</c:v>
                </c:pt>
                <c:pt idx="3">
                  <c:v>68.63</c:v>
                </c:pt>
              </c:numCache>
            </c:numRef>
          </c:xVal>
          <c:yVal>
            <c:numRef>
              <c:f>'Case 2 - 24 hours'!$B$11:$B$19</c:f>
              <c:numCache>
                <c:formatCode>General</c:formatCode>
                <c:ptCount val="9"/>
                <c:pt idx="0">
                  <c:v>5823.05</c:v>
                </c:pt>
                <c:pt idx="1">
                  <c:v>1874.15</c:v>
                </c:pt>
                <c:pt idx="2">
                  <c:v>770.75</c:v>
                </c:pt>
                <c:pt idx="3">
                  <c:v>379.38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B7A-4E68-B8BD-0FF4D14AD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557760"/>
        <c:axId val="121559680"/>
      </c:scatterChart>
      <c:scatterChart>
        <c:scatterStyle val="smoothMarker"/>
        <c:varyColors val="0"/>
        <c:ser>
          <c:idx val="1"/>
          <c:order val="1"/>
          <c:tx>
            <c:strRef>
              <c:f>'Case 2 - 24 hours'!$C$9:$D$9</c:f>
              <c:strCache>
                <c:ptCount val="1"/>
                <c:pt idx="0">
                  <c:v>Mono-exponential fit curve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'Case 2 - 24 hours'!$A$11:$A$19</c:f>
              <c:numCache>
                <c:formatCode>General</c:formatCode>
                <c:ptCount val="9"/>
                <c:pt idx="0">
                  <c:v>0.05</c:v>
                </c:pt>
                <c:pt idx="1">
                  <c:v>25.63</c:v>
                </c:pt>
                <c:pt idx="2">
                  <c:v>48.8</c:v>
                </c:pt>
                <c:pt idx="3">
                  <c:v>68.63</c:v>
                </c:pt>
              </c:numCache>
            </c:numRef>
          </c:xVal>
          <c:yVal>
            <c:numRef>
              <c:f>'Case 2 - 24 hours'!$C$11:$C$19</c:f>
              <c:numCache>
                <c:formatCode>General</c:formatCode>
                <c:ptCount val="9"/>
                <c:pt idx="0">
                  <c:v>5823.05</c:v>
                </c:pt>
                <c:pt idx="1">
                  <c:v>3224.5734679467282</c:v>
                </c:pt>
                <c:pt idx="2">
                  <c:v>1887.8903921776407</c:v>
                </c:pt>
                <c:pt idx="3">
                  <c:v>1193.9769676360245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B7A-4E68-B8BD-0FF4D14AD5B6}"/>
            </c:ext>
          </c:extLst>
        </c:ser>
        <c:ser>
          <c:idx val="2"/>
          <c:order val="2"/>
          <c:tx>
            <c:strRef>
              <c:f>'Case 2 - 24 hours'!$E$9:$F$9</c:f>
              <c:strCache>
                <c:ptCount val="1"/>
                <c:pt idx="0">
                  <c:v>Bi-exponential fit curve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'Case 2 - 24 hours'!$A$11:$A$19</c:f>
              <c:numCache>
                <c:formatCode>General</c:formatCode>
                <c:ptCount val="9"/>
                <c:pt idx="0">
                  <c:v>0.05</c:v>
                </c:pt>
                <c:pt idx="1">
                  <c:v>25.63</c:v>
                </c:pt>
                <c:pt idx="2">
                  <c:v>48.8</c:v>
                </c:pt>
                <c:pt idx="3">
                  <c:v>68.63</c:v>
                </c:pt>
              </c:numCache>
            </c:numRef>
          </c:xVal>
          <c:yVal>
            <c:numRef>
              <c:f>'Case 2 - 24 hours'!$E$11:$E$19</c:f>
              <c:numCache>
                <c:formatCode>General</c:formatCode>
                <c:ptCount val="9"/>
                <c:pt idx="0">
                  <c:v>5823.05</c:v>
                </c:pt>
                <c:pt idx="1">
                  <c:v>1612.6978334075247</c:v>
                </c:pt>
                <c:pt idx="2">
                  <c:v>943.94532990677237</c:v>
                </c:pt>
                <c:pt idx="3">
                  <c:v>596.98848395662458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B7A-4E68-B8BD-0FF4D14AD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557760"/>
        <c:axId val="121559680"/>
      </c:scatterChart>
      <c:valAx>
        <c:axId val="121557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After Administration (Hours)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1559680"/>
        <c:crosses val="autoZero"/>
        <c:crossBetween val="midCat"/>
      </c:valAx>
      <c:valAx>
        <c:axId val="1215596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Activity</a:t>
                </a:r>
                <a:r>
                  <a:rPr lang="en-GB" baseline="0"/>
                  <a:t> (MBq)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215577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>
                <a:latin typeface="Calibri"/>
                <a:cs typeface="Calibri"/>
              </a:rPr>
              <a:t>Ã Comparison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'Case 2 - 24 hours'!$C$23</c:f>
              <c:strCache>
                <c:ptCount val="1"/>
                <c:pt idx="0">
                  <c:v>Mono -exp Ã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'Case 2 - 24 hours'!$A$2:$C$2</c:f>
              <c:strCache>
                <c:ptCount val="1"/>
                <c:pt idx="0">
                  <c:v>Methods of Cumulative Activity (Ã) Estimation</c:v>
                </c:pt>
              </c:strCache>
            </c:strRef>
          </c:cat>
          <c:val>
            <c:numRef>
              <c:f>'Case 2 - 24 hours'!$C$24</c:f>
              <c:numCache>
                <c:formatCode>General</c:formatCode>
                <c:ptCount val="1"/>
                <c:pt idx="0">
                  <c:v>252079.8345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E5-4788-AC03-C965B635A7BF}"/>
            </c:ext>
          </c:extLst>
        </c:ser>
        <c:ser>
          <c:idx val="1"/>
          <c:order val="1"/>
          <c:tx>
            <c:strRef>
              <c:f>'Case 2 - 24 hours'!$E$23</c:f>
              <c:strCache>
                <c:ptCount val="1"/>
                <c:pt idx="0">
                  <c:v>Bi-exp Ã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'Case 2 - 24 hours'!$A$2:$C$2</c:f>
              <c:strCache>
                <c:ptCount val="1"/>
                <c:pt idx="0">
                  <c:v>Methods of Cumulative Activity (Ã) Estimation</c:v>
                </c:pt>
              </c:strCache>
            </c:strRef>
          </c:cat>
          <c:val>
            <c:numRef>
              <c:f>'Case 2 - 24 hours'!$E$24</c:f>
              <c:numCache>
                <c:formatCode>General</c:formatCode>
                <c:ptCount val="1"/>
                <c:pt idx="0">
                  <c:v>134414.16572557567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E5-4788-AC03-C965B635A7BF}"/>
            </c:ext>
          </c:extLst>
        </c:ser>
        <c:ser>
          <c:idx val="2"/>
          <c:order val="2"/>
          <c:tx>
            <c:strRef>
              <c:f>'Case 2 - 24 hours'!$H$23</c:f>
              <c:strCache>
                <c:ptCount val="1"/>
                <c:pt idx="0">
                  <c:v>Trapezoid Ã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'Case 2 - 24 hours'!$A$2:$C$2</c:f>
              <c:strCache>
                <c:ptCount val="1"/>
                <c:pt idx="0">
                  <c:v>Methods of Cumulative Activity (Ã) Estimation</c:v>
                </c:pt>
              </c:strCache>
            </c:strRef>
          </c:cat>
          <c:val>
            <c:numRef>
              <c:f>'Case 2 - 24 hours'!$H$24</c:f>
              <c:numCache>
                <c:formatCode>General</c:formatCode>
                <c:ptCount val="1"/>
                <c:pt idx="0">
                  <c:v>245656.02945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E5-4788-AC03-C965B635A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338112"/>
        <c:axId val="121344000"/>
      </c:barChart>
      <c:catAx>
        <c:axId val="12133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21344000"/>
        <c:crosses val="autoZero"/>
        <c:auto val="1"/>
        <c:lblAlgn val="ctr"/>
        <c:lblOffset val="100"/>
        <c:noMultiLvlLbl val="0"/>
      </c:catAx>
      <c:valAx>
        <c:axId val="12134400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Cumulative Activity (MBq.Hrs)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213381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All</a:t>
            </a:r>
            <a:r>
              <a:rPr lang="en-GB" baseline="0"/>
              <a:t> points vs 24 hour interval (Teff, Mono fit)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'Case 2 - Fit Comparsions'!$C$5</c:f>
              <c:strCache>
                <c:ptCount val="1"/>
                <c:pt idx="0">
                  <c:v>Teff (hours) : All Points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'Case 2 - Fit Comparsions'!$C$6</c:f>
              <c:numCache>
                <c:formatCode>0.00</c:formatCode>
                <c:ptCount val="1"/>
                <c:pt idx="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A0-4EFA-90DA-820FE015E2BD}"/>
            </c:ext>
          </c:extLst>
        </c:ser>
        <c:ser>
          <c:idx val="1"/>
          <c:order val="1"/>
          <c:tx>
            <c:strRef>
              <c:f>'Case 2 - Fit Comparsions'!$F$5</c:f>
              <c:strCache>
                <c:ptCount val="1"/>
                <c:pt idx="0">
                  <c:v>Teff (hours): 24 hour interval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'Case 2 - Fit Comparsions'!$F$6</c:f>
              <c:numCache>
                <c:formatCode>0.00</c:formatCode>
                <c:ptCount val="1"/>
                <c:pt idx="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A0-4EFA-90DA-820FE015E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682944"/>
        <c:axId val="121692928"/>
      </c:barChart>
      <c:catAx>
        <c:axId val="12168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1692928"/>
        <c:crosses val="autoZero"/>
        <c:auto val="1"/>
        <c:lblAlgn val="ctr"/>
        <c:lblOffset val="100"/>
        <c:noMultiLvlLbl val="0"/>
      </c:catAx>
      <c:valAx>
        <c:axId val="121692928"/>
        <c:scaling>
          <c:orientation val="minMax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16829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3744075829383895"/>
          <c:y val="0.48327137546468407"/>
          <c:w val="0.34123222748815163"/>
          <c:h val="0.2973977695167285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All points vs 24 hour interval (Teff, Mono fit)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'Case 2 - Fit Comparsions'!$C$10</c:f>
              <c:strCache>
                <c:ptCount val="1"/>
                <c:pt idx="0">
                  <c:v>Mono -exp Ã : All Points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'Case 2 - Fit Comparsions'!$C$11</c:f>
              <c:numCache>
                <c:formatCode>0.00</c:formatCode>
                <c:ptCount val="1"/>
                <c:pt idx="0">
                  <c:v>252079.8345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63-44AD-8B4E-F8CB15CBD559}"/>
            </c:ext>
          </c:extLst>
        </c:ser>
        <c:ser>
          <c:idx val="1"/>
          <c:order val="1"/>
          <c:tx>
            <c:strRef>
              <c:f>'Case 2 - Fit Comparsions'!$F$10</c:f>
              <c:strCache>
                <c:ptCount val="1"/>
                <c:pt idx="0">
                  <c:v>Mono -exp Ã : 24 hour sampling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'Case 2 - Fit Comparsions'!$F$11</c:f>
              <c:numCache>
                <c:formatCode>0.00</c:formatCode>
                <c:ptCount val="1"/>
                <c:pt idx="0">
                  <c:v>252079.8345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63-44AD-8B4E-F8CB15CBD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515008"/>
        <c:axId val="121520896"/>
      </c:barChart>
      <c:catAx>
        <c:axId val="12151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1520896"/>
        <c:crosses val="autoZero"/>
        <c:auto val="1"/>
        <c:lblAlgn val="ctr"/>
        <c:lblOffset val="100"/>
        <c:noMultiLvlLbl val="0"/>
      </c:catAx>
      <c:valAx>
        <c:axId val="121520896"/>
        <c:scaling>
          <c:orientation val="minMax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15150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 i="0" baseline="0">
                <a:effectLst/>
              </a:rPr>
              <a:t>All points vs 24 hour interval (Teff1, Bi fit)</a:t>
            </a:r>
            <a:endParaRPr lang="en-GB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'Case 2 - Fit Comparsions'!$C$5</c:f>
              <c:strCache>
                <c:ptCount val="1"/>
                <c:pt idx="0">
                  <c:v>Teff (hours) : All Points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F506-462B-B3A1-C056DA00C6EC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'Case 2 - Fit Comparsions'!$C$23</c:f>
              <c:numCache>
                <c:formatCode>0.00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06-462B-B3A1-C056DA00C6EC}"/>
            </c:ext>
          </c:extLst>
        </c:ser>
        <c:ser>
          <c:idx val="1"/>
          <c:order val="1"/>
          <c:tx>
            <c:strRef>
              <c:f>'Case 2 - Fit Comparsions'!$F$5</c:f>
              <c:strCache>
                <c:ptCount val="1"/>
                <c:pt idx="0">
                  <c:v>Teff (hours): 24 hour interval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accent6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'Case 2 - Fit Comparsions'!$C$27</c:f>
              <c:numCache>
                <c:formatCode>0.00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06-462B-B3A1-C056DA00C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614336"/>
        <c:axId val="121615872"/>
      </c:barChart>
      <c:catAx>
        <c:axId val="12161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1615872"/>
        <c:crosses val="autoZero"/>
        <c:auto val="1"/>
        <c:lblAlgn val="ctr"/>
        <c:lblOffset val="100"/>
        <c:noMultiLvlLbl val="0"/>
      </c:catAx>
      <c:valAx>
        <c:axId val="121615872"/>
        <c:scaling>
          <c:orientation val="minMax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16143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 i="0" baseline="0">
                <a:effectLst/>
              </a:rPr>
              <a:t>All points vs 24 hour interval (Teff2, Bi fit)</a:t>
            </a:r>
            <a:endParaRPr lang="en-GB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'Case 2 - Fit Comparsions'!$C$5</c:f>
              <c:strCache>
                <c:ptCount val="1"/>
                <c:pt idx="0">
                  <c:v>Teff (hours) : All Points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'Case 2 - Fit Comparsions'!$D$23</c:f>
              <c:numCache>
                <c:formatCode>0.00</c:formatCode>
                <c:ptCount val="1"/>
                <c:pt idx="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12-44F9-B199-28B3C8C98622}"/>
            </c:ext>
          </c:extLst>
        </c:ser>
        <c:ser>
          <c:idx val="1"/>
          <c:order val="1"/>
          <c:tx>
            <c:strRef>
              <c:f>'Case 2 - Fit Comparsions'!$F$5</c:f>
              <c:strCache>
                <c:ptCount val="1"/>
                <c:pt idx="0">
                  <c:v>Teff (hours): 24 hour interval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accent6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'Case 2 - Fit Comparsions'!$D$27</c:f>
              <c:numCache>
                <c:formatCode>0.00</c:formatCode>
                <c:ptCount val="1"/>
                <c:pt idx="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12-44F9-B199-28B3C8C98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774080"/>
        <c:axId val="121775616"/>
      </c:barChart>
      <c:catAx>
        <c:axId val="12177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1775616"/>
        <c:crosses val="autoZero"/>
        <c:auto val="1"/>
        <c:lblAlgn val="ctr"/>
        <c:lblOffset val="100"/>
        <c:noMultiLvlLbl val="0"/>
      </c:catAx>
      <c:valAx>
        <c:axId val="121775616"/>
        <c:scaling>
          <c:orientation val="minMax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1774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 i="0" baseline="0">
                <a:effectLst/>
              </a:rPr>
              <a:t>All points vs 24 hour interval (f, Bi fit)</a:t>
            </a:r>
            <a:endParaRPr lang="en-GB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'Case 2 - Fit Comparsions'!$E$22</c:f>
              <c:strCache>
                <c:ptCount val="1"/>
                <c:pt idx="0">
                  <c:v>f All Points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'Case 2 - Fit Comparsions'!$E$23</c:f>
              <c:numCache>
                <c:formatCode>0.00</c:formatCode>
                <c:ptCount val="1"/>
                <c:pt idx="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E4-495B-BF8E-BCE5C77DF47D}"/>
            </c:ext>
          </c:extLst>
        </c:ser>
        <c:ser>
          <c:idx val="1"/>
          <c:order val="1"/>
          <c:tx>
            <c:strRef>
              <c:f>'Case 2 - Fit Comparsions'!$E$26</c:f>
              <c:strCache>
                <c:ptCount val="1"/>
                <c:pt idx="0">
                  <c:v>f 24 hour interval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accent6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'Case 2 - Fit Comparsions'!$E$27</c:f>
              <c:numCache>
                <c:formatCode>0.00</c:formatCode>
                <c:ptCount val="1"/>
                <c:pt idx="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E4-495B-BF8E-BCE5C77DF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810944"/>
        <c:axId val="121812480"/>
      </c:barChart>
      <c:catAx>
        <c:axId val="12181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1812480"/>
        <c:crosses val="autoZero"/>
        <c:auto val="1"/>
        <c:lblAlgn val="ctr"/>
        <c:lblOffset val="100"/>
        <c:noMultiLvlLbl val="0"/>
      </c:catAx>
      <c:valAx>
        <c:axId val="121812480"/>
        <c:scaling>
          <c:orientation val="minMax"/>
          <c:max val="1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18109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>
                <a:latin typeface="Calibri"/>
                <a:cs typeface="Calibri"/>
              </a:rPr>
              <a:t>Ã Comparison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'Case 1 - full'!$C$40</c:f>
              <c:strCache>
                <c:ptCount val="1"/>
                <c:pt idx="0">
                  <c:v>Mono -exp Ã  MBqhr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'Case 1 - full'!$A$2:$C$2</c:f>
              <c:strCache>
                <c:ptCount val="1"/>
                <c:pt idx="0">
                  <c:v>Methods of Cumulative Activity (Ã) Estimation</c:v>
                </c:pt>
              </c:strCache>
            </c:strRef>
          </c:cat>
          <c:val>
            <c:numRef>
              <c:f>'Case 1 - full'!$C$41</c:f>
              <c:numCache>
                <c:formatCode>General</c:formatCode>
                <c:ptCount val="1"/>
                <c:pt idx="0">
                  <c:v>237917.94389999998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D7-4AC8-8BEE-F9D69C1BA67D}"/>
            </c:ext>
          </c:extLst>
        </c:ser>
        <c:ser>
          <c:idx val="1"/>
          <c:order val="1"/>
          <c:tx>
            <c:strRef>
              <c:f>'Case 1 - full'!$E$40</c:f>
              <c:strCache>
                <c:ptCount val="1"/>
                <c:pt idx="0">
                  <c:v>Bi-exp Ã MBqhr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'Case 1 - full'!$A$2:$C$2</c:f>
              <c:strCache>
                <c:ptCount val="1"/>
                <c:pt idx="0">
                  <c:v>Methods of Cumulative Activity (Ã) Estimation</c:v>
                </c:pt>
              </c:strCache>
            </c:strRef>
          </c:cat>
          <c:val>
            <c:numRef>
              <c:f>'Case 1 - full'!$E$41</c:f>
              <c:numCache>
                <c:formatCode>General</c:formatCode>
                <c:ptCount val="1"/>
                <c:pt idx="0">
                  <c:v>107538.08809555139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D7-4AC8-8BEE-F9D69C1BA67D}"/>
            </c:ext>
          </c:extLst>
        </c:ser>
        <c:ser>
          <c:idx val="2"/>
          <c:order val="2"/>
          <c:tx>
            <c:strRef>
              <c:f>'Case 1 - full'!$H$40</c:f>
              <c:strCache>
                <c:ptCount val="1"/>
                <c:pt idx="0">
                  <c:v>Trapezoid Ã MBqhr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'Case 1 - full'!$A$2:$C$2</c:f>
              <c:strCache>
                <c:ptCount val="1"/>
                <c:pt idx="0">
                  <c:v>Methods of Cumulative Activity (Ã) Estimation</c:v>
                </c:pt>
              </c:strCache>
            </c:strRef>
          </c:cat>
          <c:val>
            <c:numRef>
              <c:f>'Case 1 - full'!$H$41</c:f>
              <c:numCache>
                <c:formatCode>General</c:formatCode>
                <c:ptCount val="1"/>
                <c:pt idx="0">
                  <c:v>256939.85470000003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D7-4AC8-8BEE-F9D69C1BA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552640"/>
        <c:axId val="115554176"/>
      </c:barChart>
      <c:catAx>
        <c:axId val="11555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5554176"/>
        <c:crosses val="autoZero"/>
        <c:auto val="1"/>
        <c:lblAlgn val="ctr"/>
        <c:lblOffset val="100"/>
        <c:noMultiLvlLbl val="0"/>
      </c:catAx>
      <c:valAx>
        <c:axId val="11555417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Cumulative Activity (MBq.Hrs)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155526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365390084753333"/>
          <c:y val="0.45669401561025341"/>
          <c:w val="0.14241502319949945"/>
          <c:h val="0.188976929064969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latin typeface="Calibri"/>
          <a:cs typeface="Calibri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 i="0" baseline="0">
                <a:effectLst/>
              </a:rPr>
              <a:t>All points vs 24 hour interval (</a:t>
            </a:r>
            <a:r>
              <a:rPr lang="en-GB" sz="1800" b="1" i="0" baseline="0">
                <a:effectLst/>
                <a:latin typeface="Calibri"/>
                <a:cs typeface="Calibri"/>
              </a:rPr>
              <a:t>Ã</a:t>
            </a:r>
            <a:r>
              <a:rPr lang="en-GB" sz="1800" b="1" i="0" baseline="0">
                <a:effectLst/>
              </a:rPr>
              <a:t>, Bi fit)</a:t>
            </a:r>
            <a:endParaRPr lang="en-GB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'Case 2 - Fit Comparsions'!$B$33</c:f>
              <c:strCache>
                <c:ptCount val="1"/>
                <c:pt idx="0">
                  <c:v>Bi-exp Ã All Points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'Case 2 - Fit Comparsions'!$B$34</c:f>
              <c:numCache>
                <c:formatCode>0.00</c:formatCode>
                <c:ptCount val="1"/>
                <c:pt idx="0">
                  <c:v>134414.16572557567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87-4371-857E-25F9471FF6F0}"/>
            </c:ext>
          </c:extLst>
        </c:ser>
        <c:ser>
          <c:idx val="1"/>
          <c:order val="1"/>
          <c:tx>
            <c:strRef>
              <c:f>'Case 2 - Fit Comparsions'!$D$33</c:f>
              <c:strCache>
                <c:ptCount val="1"/>
                <c:pt idx="0">
                  <c:v>Bi-exp Ã 24 hour interval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C000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'Case 2 - Fit Comparsions'!$D$34</c:f>
              <c:numCache>
                <c:formatCode>0.00</c:formatCode>
                <c:ptCount val="1"/>
                <c:pt idx="0">
                  <c:v>134414.16572557567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87-4371-857E-25F9471FF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314752"/>
        <c:axId val="122316288"/>
      </c:barChart>
      <c:catAx>
        <c:axId val="12231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2316288"/>
        <c:crosses val="autoZero"/>
        <c:auto val="1"/>
        <c:lblAlgn val="ctr"/>
        <c:lblOffset val="100"/>
        <c:noMultiLvlLbl val="0"/>
      </c:catAx>
      <c:valAx>
        <c:axId val="122316288"/>
        <c:scaling>
          <c:orientation val="minMax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23147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789889396121207"/>
          <c:y val="0.48148320966052088"/>
          <c:w val="0.30350214977991574"/>
          <c:h val="0.19753172828705057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Fitted</a:t>
            </a:r>
            <a:r>
              <a:rPr lang="en-GB" baseline="0"/>
              <a:t> Time - Activity Curves: Case 3 (All Time Points)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'Case 3 - full '!$A$9:$B$9</c:f>
              <c:strCache>
                <c:ptCount val="1"/>
                <c:pt idx="0">
                  <c:v>Raw A -T Data</c:v>
                </c:pt>
              </c:strCache>
            </c:strRef>
          </c:tx>
          <c:spPr>
            <a:ln w="25400">
              <a:solidFill>
                <a:schemeClr val="accent4">
                  <a:lumMod val="60000"/>
                  <a:lumOff val="40000"/>
                </a:schemeClr>
              </a:solidFill>
            </a:ln>
          </c:spPr>
          <c:xVal>
            <c:numRef>
              <c:f>'Case 3 - full '!$A$11:$A$28</c:f>
              <c:numCache>
                <c:formatCode>General</c:formatCode>
                <c:ptCount val="18"/>
                <c:pt idx="0">
                  <c:v>0</c:v>
                </c:pt>
                <c:pt idx="1">
                  <c:v>0.85</c:v>
                </c:pt>
                <c:pt idx="2">
                  <c:v>2.35</c:v>
                </c:pt>
                <c:pt idx="3">
                  <c:v>5.0100000000000007</c:v>
                </c:pt>
                <c:pt idx="4">
                  <c:v>6.6800000000000006</c:v>
                </c:pt>
                <c:pt idx="5">
                  <c:v>19.03</c:v>
                </c:pt>
                <c:pt idx="6">
                  <c:v>23.53</c:v>
                </c:pt>
                <c:pt idx="7">
                  <c:v>26.3</c:v>
                </c:pt>
                <c:pt idx="8">
                  <c:v>31.18</c:v>
                </c:pt>
                <c:pt idx="9">
                  <c:v>40.349999999999994</c:v>
                </c:pt>
                <c:pt idx="10">
                  <c:v>45.41</c:v>
                </c:pt>
                <c:pt idx="11">
                  <c:v>50.599999999999994</c:v>
                </c:pt>
                <c:pt idx="12">
                  <c:v>55.18</c:v>
                </c:pt>
                <c:pt idx="13">
                  <c:v>64.680000000000007</c:v>
                </c:pt>
                <c:pt idx="14">
                  <c:v>66.010000000000005</c:v>
                </c:pt>
              </c:numCache>
            </c:numRef>
          </c:xVal>
          <c:yVal>
            <c:numRef>
              <c:f>'Case 3 - full '!$B$11:$B$28</c:f>
              <c:numCache>
                <c:formatCode>General</c:formatCode>
                <c:ptCount val="18"/>
                <c:pt idx="0">
                  <c:v>5728.01</c:v>
                </c:pt>
                <c:pt idx="1">
                  <c:v>5370.46</c:v>
                </c:pt>
                <c:pt idx="2">
                  <c:v>4595.01</c:v>
                </c:pt>
                <c:pt idx="3">
                  <c:v>3782.77</c:v>
                </c:pt>
                <c:pt idx="4">
                  <c:v>3355.84</c:v>
                </c:pt>
                <c:pt idx="5">
                  <c:v>2393.63</c:v>
                </c:pt>
                <c:pt idx="6">
                  <c:v>1643.91</c:v>
                </c:pt>
                <c:pt idx="7">
                  <c:v>1284.21</c:v>
                </c:pt>
                <c:pt idx="8">
                  <c:v>945.62</c:v>
                </c:pt>
                <c:pt idx="9">
                  <c:v>708.83</c:v>
                </c:pt>
                <c:pt idx="10">
                  <c:v>522.22</c:v>
                </c:pt>
                <c:pt idx="11">
                  <c:v>361.68</c:v>
                </c:pt>
                <c:pt idx="12">
                  <c:v>279.88</c:v>
                </c:pt>
                <c:pt idx="13">
                  <c:v>188.77</c:v>
                </c:pt>
                <c:pt idx="14">
                  <c:v>172.98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53A-462B-B8BB-C8E70B6A3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471168"/>
        <c:axId val="122473088"/>
      </c:scatterChart>
      <c:scatterChart>
        <c:scatterStyle val="smoothMarker"/>
        <c:varyColors val="0"/>
        <c:ser>
          <c:idx val="1"/>
          <c:order val="1"/>
          <c:tx>
            <c:strRef>
              <c:f>'Case 3 - full '!$C$9:$D$9</c:f>
              <c:strCache>
                <c:ptCount val="1"/>
                <c:pt idx="0">
                  <c:v>Mono-exponential fit curve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'Case 3 - full '!$A$11:$A$28</c:f>
              <c:numCache>
                <c:formatCode>General</c:formatCode>
                <c:ptCount val="18"/>
                <c:pt idx="0">
                  <c:v>0</c:v>
                </c:pt>
                <c:pt idx="1">
                  <c:v>0.85</c:v>
                </c:pt>
                <c:pt idx="2">
                  <c:v>2.35</c:v>
                </c:pt>
                <c:pt idx="3">
                  <c:v>5.0100000000000007</c:v>
                </c:pt>
                <c:pt idx="4">
                  <c:v>6.6800000000000006</c:v>
                </c:pt>
                <c:pt idx="5">
                  <c:v>19.03</c:v>
                </c:pt>
                <c:pt idx="6">
                  <c:v>23.53</c:v>
                </c:pt>
                <c:pt idx="7">
                  <c:v>26.3</c:v>
                </c:pt>
                <c:pt idx="8">
                  <c:v>31.18</c:v>
                </c:pt>
                <c:pt idx="9">
                  <c:v>40.349999999999994</c:v>
                </c:pt>
                <c:pt idx="10">
                  <c:v>45.41</c:v>
                </c:pt>
                <c:pt idx="11">
                  <c:v>50.599999999999994</c:v>
                </c:pt>
                <c:pt idx="12">
                  <c:v>55.18</c:v>
                </c:pt>
                <c:pt idx="13">
                  <c:v>64.680000000000007</c:v>
                </c:pt>
                <c:pt idx="14">
                  <c:v>66.010000000000005</c:v>
                </c:pt>
              </c:numCache>
            </c:numRef>
          </c:xVal>
          <c:yVal>
            <c:numRef>
              <c:f>'Case 3 - full '!$C$11:$C$28</c:f>
              <c:numCache>
                <c:formatCode>General</c:formatCode>
                <c:ptCount val="18"/>
                <c:pt idx="0">
                  <c:v>5728.01</c:v>
                </c:pt>
                <c:pt idx="1">
                  <c:v>5616.6140793027298</c:v>
                </c:pt>
                <c:pt idx="2">
                  <c:v>5425.2915847492804</c:v>
                </c:pt>
                <c:pt idx="3">
                  <c:v>5101.8978416040745</c:v>
                </c:pt>
                <c:pt idx="4">
                  <c:v>4908.7896449535274</c:v>
                </c:pt>
                <c:pt idx="5">
                  <c:v>3690.204268848116</c:v>
                </c:pt>
                <c:pt idx="6">
                  <c:v>3325.7983044278253</c:v>
                </c:pt>
                <c:pt idx="7">
                  <c:v>3119.613597435723</c:v>
                </c:pt>
                <c:pt idx="8">
                  <c:v>2786.9761916109956</c:v>
                </c:pt>
                <c:pt idx="9">
                  <c:v>2254.853981434082</c:v>
                </c:pt>
                <c:pt idx="10">
                  <c:v>2006.0635984689877</c:v>
                </c:pt>
                <c:pt idx="11">
                  <c:v>1779.3709997422181</c:v>
                </c:pt>
                <c:pt idx="12">
                  <c:v>1600.697483359726</c:v>
                </c:pt>
                <c:pt idx="13">
                  <c:v>1285.2366363306453</c:v>
                </c:pt>
                <c:pt idx="14">
                  <c:v>1246.3425834641464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53A-462B-B8BB-C8E70B6A3FE6}"/>
            </c:ext>
          </c:extLst>
        </c:ser>
        <c:ser>
          <c:idx val="2"/>
          <c:order val="2"/>
          <c:tx>
            <c:strRef>
              <c:f>'Case 3 - full '!$E$9:$F$9</c:f>
              <c:strCache>
                <c:ptCount val="1"/>
                <c:pt idx="0">
                  <c:v>Bi-exponential fit curve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'Case 3 - full '!$A$11:$A$28</c:f>
              <c:numCache>
                <c:formatCode>General</c:formatCode>
                <c:ptCount val="18"/>
                <c:pt idx="0">
                  <c:v>0</c:v>
                </c:pt>
                <c:pt idx="1">
                  <c:v>0.85</c:v>
                </c:pt>
                <c:pt idx="2">
                  <c:v>2.35</c:v>
                </c:pt>
                <c:pt idx="3">
                  <c:v>5.0100000000000007</c:v>
                </c:pt>
                <c:pt idx="4">
                  <c:v>6.6800000000000006</c:v>
                </c:pt>
                <c:pt idx="5">
                  <c:v>19.03</c:v>
                </c:pt>
                <c:pt idx="6">
                  <c:v>23.53</c:v>
                </c:pt>
                <c:pt idx="7">
                  <c:v>26.3</c:v>
                </c:pt>
                <c:pt idx="8">
                  <c:v>31.18</c:v>
                </c:pt>
                <c:pt idx="9">
                  <c:v>40.349999999999994</c:v>
                </c:pt>
                <c:pt idx="10">
                  <c:v>45.41</c:v>
                </c:pt>
                <c:pt idx="11">
                  <c:v>50.599999999999994</c:v>
                </c:pt>
                <c:pt idx="12">
                  <c:v>55.18</c:v>
                </c:pt>
                <c:pt idx="13">
                  <c:v>64.680000000000007</c:v>
                </c:pt>
                <c:pt idx="14">
                  <c:v>66.010000000000005</c:v>
                </c:pt>
              </c:numCache>
            </c:numRef>
          </c:xVal>
          <c:yVal>
            <c:numRef>
              <c:f>'Case 3 - full '!$E$11:$E$28</c:f>
              <c:numCache>
                <c:formatCode>General</c:formatCode>
                <c:ptCount val="18"/>
                <c:pt idx="0">
                  <c:v>5728.01</c:v>
                </c:pt>
                <c:pt idx="1">
                  <c:v>4941.5288910367326</c:v>
                </c:pt>
                <c:pt idx="2">
                  <c:v>3981.0670941480184</c:v>
                </c:pt>
                <c:pt idx="3">
                  <c:v>3055.486631968352</c:v>
                </c:pt>
                <c:pt idx="4">
                  <c:v>2737.2301058996727</c:v>
                </c:pt>
                <c:pt idx="5">
                  <c:v>1849.0166079758101</c:v>
                </c:pt>
                <c:pt idx="6">
                  <c:v>1663.722068908231</c:v>
                </c:pt>
                <c:pt idx="7">
                  <c:v>1560.1218848788928</c:v>
                </c:pt>
                <c:pt idx="8">
                  <c:v>1393.5461610339983</c:v>
                </c:pt>
                <c:pt idx="9">
                  <c:v>1127.4294100386769</c:v>
                </c:pt>
                <c:pt idx="10">
                  <c:v>1003.0322181126569</c:v>
                </c:pt>
                <c:pt idx="11">
                  <c:v>889.68556920010042</c:v>
                </c:pt>
                <c:pt idx="12">
                  <c:v>800.3487558559442</c:v>
                </c:pt>
                <c:pt idx="13">
                  <c:v>642.61831869214438</c:v>
                </c:pt>
                <c:pt idx="14">
                  <c:v>623.17129206433367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53A-462B-B8BB-C8E70B6A3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471168"/>
        <c:axId val="122473088"/>
      </c:scatterChart>
      <c:valAx>
        <c:axId val="122471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After Administration (Hours)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2473088"/>
        <c:crosses val="autoZero"/>
        <c:crossBetween val="midCat"/>
      </c:valAx>
      <c:valAx>
        <c:axId val="1224730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Activity</a:t>
                </a:r>
                <a:r>
                  <a:rPr lang="en-GB" baseline="0"/>
                  <a:t> (MBq)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224711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>
                <a:latin typeface="Calibri"/>
                <a:cs typeface="Calibri"/>
              </a:rPr>
              <a:t>Ã Comparison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'Case 3 - full '!$C$32</c:f>
              <c:strCache>
                <c:ptCount val="1"/>
                <c:pt idx="0">
                  <c:v>Mono -exp Ã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'Case 3 - full '!$A$2:$C$2</c:f>
              <c:strCache>
                <c:ptCount val="1"/>
                <c:pt idx="0">
                  <c:v>Methods of Cumulative Activity (Ã) Estimation</c:v>
                </c:pt>
              </c:strCache>
            </c:strRef>
          </c:cat>
          <c:val>
            <c:numRef>
              <c:f>'Case 3 - full '!$C$33</c:f>
              <c:numCache>
                <c:formatCode>General</c:formatCode>
                <c:ptCount val="1"/>
                <c:pt idx="0">
                  <c:v>247965.55290000001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F4-4B57-A632-0A84A24BBDBA}"/>
            </c:ext>
          </c:extLst>
        </c:ser>
        <c:ser>
          <c:idx val="1"/>
          <c:order val="1"/>
          <c:tx>
            <c:strRef>
              <c:f>'Case 3 - full '!$E$32</c:f>
              <c:strCache>
                <c:ptCount val="1"/>
                <c:pt idx="0">
                  <c:v>Bi-exp Ã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'Case 3 - full '!$A$2:$C$2</c:f>
              <c:strCache>
                <c:ptCount val="1"/>
                <c:pt idx="0">
                  <c:v>Methods of Cumulative Activity (Ã) Estimation</c:v>
                </c:pt>
              </c:strCache>
            </c:strRef>
          </c:cat>
          <c:val>
            <c:numRef>
              <c:f>'Case 3 - full '!$E$33</c:f>
              <c:numCache>
                <c:formatCode>General</c:formatCode>
                <c:ptCount val="1"/>
                <c:pt idx="0">
                  <c:v>132220.34593859827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F4-4B57-A632-0A84A24BBDBA}"/>
            </c:ext>
          </c:extLst>
        </c:ser>
        <c:ser>
          <c:idx val="2"/>
          <c:order val="2"/>
          <c:tx>
            <c:strRef>
              <c:f>'Case 3 - full '!$H$32</c:f>
              <c:strCache>
                <c:ptCount val="1"/>
                <c:pt idx="0">
                  <c:v>Trapezoid Ã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'Case 3 - full '!$A$2:$C$2</c:f>
              <c:strCache>
                <c:ptCount val="1"/>
                <c:pt idx="0">
                  <c:v>Methods of Cumulative Activity (Ã) Estimation</c:v>
                </c:pt>
              </c:strCache>
            </c:strRef>
          </c:cat>
          <c:val>
            <c:numRef>
              <c:f>'Case 3 - full '!$H$33</c:f>
              <c:numCache>
                <c:formatCode>General</c:formatCode>
                <c:ptCount val="1"/>
                <c:pt idx="0">
                  <c:v>107780.30255000002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F4-4B57-A632-0A84A24BB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509184"/>
        <c:axId val="122510720"/>
      </c:barChart>
      <c:catAx>
        <c:axId val="12250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22510720"/>
        <c:crosses val="autoZero"/>
        <c:auto val="1"/>
        <c:lblAlgn val="ctr"/>
        <c:lblOffset val="100"/>
        <c:noMultiLvlLbl val="0"/>
      </c:catAx>
      <c:valAx>
        <c:axId val="12251072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Cumulative Activity (MBq.Hrs)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225091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Fitted</a:t>
            </a:r>
            <a:r>
              <a:rPr lang="en-GB" baseline="0"/>
              <a:t> Time - Activity Curves: Case 3 (24 Time Interval)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'Case 3 - 24 hour'!$A$9:$B$9</c:f>
              <c:strCache>
                <c:ptCount val="1"/>
                <c:pt idx="0">
                  <c:v>Raw A -T Data</c:v>
                </c:pt>
              </c:strCache>
            </c:strRef>
          </c:tx>
          <c:spPr>
            <a:ln w="25400">
              <a:solidFill>
                <a:schemeClr val="accent4">
                  <a:lumMod val="60000"/>
                  <a:lumOff val="40000"/>
                </a:schemeClr>
              </a:solidFill>
            </a:ln>
          </c:spPr>
          <c:xVal>
            <c:numRef>
              <c:f>'Case 3 - 24 hour'!$A$11:$A$17</c:f>
              <c:numCache>
                <c:formatCode>General</c:formatCode>
                <c:ptCount val="7"/>
                <c:pt idx="0">
                  <c:v>0.02</c:v>
                </c:pt>
                <c:pt idx="1">
                  <c:v>23.55</c:v>
                </c:pt>
                <c:pt idx="2">
                  <c:v>50.62</c:v>
                </c:pt>
              </c:numCache>
            </c:numRef>
          </c:xVal>
          <c:yVal>
            <c:numRef>
              <c:f>'Case 3 - 24 hour'!$B$11:$B$17</c:f>
              <c:numCache>
                <c:formatCode>General</c:formatCode>
                <c:ptCount val="7"/>
                <c:pt idx="0">
                  <c:v>5728.01</c:v>
                </c:pt>
                <c:pt idx="1">
                  <c:v>1643.91</c:v>
                </c:pt>
                <c:pt idx="2">
                  <c:v>361.68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ED8-47BB-BCB6-609B25A52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649984"/>
        <c:axId val="122656256"/>
      </c:scatterChart>
      <c:scatterChart>
        <c:scatterStyle val="smoothMarker"/>
        <c:varyColors val="0"/>
        <c:ser>
          <c:idx val="1"/>
          <c:order val="1"/>
          <c:tx>
            <c:strRef>
              <c:f>'Case 3 - 24 hour'!$C$9:$D$9</c:f>
              <c:strCache>
                <c:ptCount val="1"/>
                <c:pt idx="0">
                  <c:v>Mono-exponential fit curve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'Case 3 - 24 hour'!$A$11:$A$17</c:f>
              <c:numCache>
                <c:formatCode>General</c:formatCode>
                <c:ptCount val="7"/>
                <c:pt idx="0">
                  <c:v>0.02</c:v>
                </c:pt>
                <c:pt idx="1">
                  <c:v>23.55</c:v>
                </c:pt>
                <c:pt idx="2">
                  <c:v>50.62</c:v>
                </c:pt>
              </c:numCache>
            </c:numRef>
          </c:xVal>
          <c:yVal>
            <c:numRef>
              <c:f>'Case 3 - 24 hour'!$C$11:$C$17</c:f>
              <c:numCache>
                <c:formatCode>General</c:formatCode>
                <c:ptCount val="7"/>
                <c:pt idx="0">
                  <c:v>5728.01</c:v>
                </c:pt>
                <c:pt idx="1">
                  <c:v>3325.7983044278253</c:v>
                </c:pt>
                <c:pt idx="2">
                  <c:v>1779.3709997422181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ED8-47BB-BCB6-609B25A52B0A}"/>
            </c:ext>
          </c:extLst>
        </c:ser>
        <c:ser>
          <c:idx val="2"/>
          <c:order val="2"/>
          <c:tx>
            <c:strRef>
              <c:f>'Case 3 - 24 hour'!$E$9:$F$9</c:f>
              <c:strCache>
                <c:ptCount val="1"/>
                <c:pt idx="0">
                  <c:v>Bi-exponential fit curve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'Case 3 - 24 hour'!$A$11:$A$17</c:f>
              <c:numCache>
                <c:formatCode>General</c:formatCode>
                <c:ptCount val="7"/>
                <c:pt idx="0">
                  <c:v>0.02</c:v>
                </c:pt>
                <c:pt idx="1">
                  <c:v>23.55</c:v>
                </c:pt>
                <c:pt idx="2">
                  <c:v>50.62</c:v>
                </c:pt>
              </c:numCache>
            </c:numRef>
          </c:xVal>
          <c:yVal>
            <c:numRef>
              <c:f>'Case 3 - 24 hour'!$E$11:$E$17</c:f>
              <c:numCache>
                <c:formatCode>General</c:formatCode>
                <c:ptCount val="7"/>
                <c:pt idx="0">
                  <c:v>5728.01</c:v>
                </c:pt>
                <c:pt idx="1">
                  <c:v>1663.722068908231</c:v>
                </c:pt>
                <c:pt idx="2">
                  <c:v>889.68556920010042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ED8-47BB-BCB6-609B25A52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649984"/>
        <c:axId val="122656256"/>
      </c:scatterChart>
      <c:valAx>
        <c:axId val="122649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After Administration (Hours)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2656256"/>
        <c:crosses val="autoZero"/>
        <c:crossBetween val="midCat"/>
      </c:valAx>
      <c:valAx>
        <c:axId val="1226562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Activity</a:t>
                </a:r>
                <a:r>
                  <a:rPr lang="en-GB" baseline="0"/>
                  <a:t> (MBq)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2264998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9409937888198769"/>
          <c:y val="0.49657534246575341"/>
          <c:w val="0.29192546583850937"/>
          <c:h val="0.2465753424657534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>
                <a:latin typeface="Calibri"/>
                <a:cs typeface="Calibri"/>
              </a:rPr>
              <a:t>Ã Comparison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'Case 3 - 24 hour'!$C$21</c:f>
              <c:strCache>
                <c:ptCount val="1"/>
                <c:pt idx="0">
                  <c:v>Mono -exp Ã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'Case 3 - 24 hour'!$A$2:$C$2</c:f>
              <c:strCache>
                <c:ptCount val="1"/>
                <c:pt idx="0">
                  <c:v>Methods of Cumulative Activity (Ã) Estimation</c:v>
                </c:pt>
              </c:strCache>
            </c:strRef>
          </c:cat>
          <c:val>
            <c:numRef>
              <c:f>'Case 3 - 24 hour'!$C$22</c:f>
              <c:numCache>
                <c:formatCode>General</c:formatCode>
                <c:ptCount val="1"/>
                <c:pt idx="0">
                  <c:v>247965.55290000001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36-4729-86B2-24934C316E94}"/>
            </c:ext>
          </c:extLst>
        </c:ser>
        <c:ser>
          <c:idx val="1"/>
          <c:order val="1"/>
          <c:tx>
            <c:strRef>
              <c:f>'Case 3 - 24 hour'!$E$21</c:f>
              <c:strCache>
                <c:ptCount val="1"/>
                <c:pt idx="0">
                  <c:v>Bi-exp Ã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'Case 3 - 24 hour'!$A$2:$C$2</c:f>
              <c:strCache>
                <c:ptCount val="1"/>
                <c:pt idx="0">
                  <c:v>Methods of Cumulative Activity (Ã) Estimation</c:v>
                </c:pt>
              </c:strCache>
            </c:strRef>
          </c:cat>
          <c:val>
            <c:numRef>
              <c:f>'Case 3 - 24 hour'!$E$22</c:f>
              <c:numCache>
                <c:formatCode>General</c:formatCode>
                <c:ptCount val="1"/>
                <c:pt idx="0">
                  <c:v>132220.34593859827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36-4729-86B2-24934C316E94}"/>
            </c:ext>
          </c:extLst>
        </c:ser>
        <c:ser>
          <c:idx val="2"/>
          <c:order val="2"/>
          <c:tx>
            <c:strRef>
              <c:f>'Case 3 - 24 hour'!$H$21</c:f>
              <c:strCache>
                <c:ptCount val="1"/>
                <c:pt idx="0">
                  <c:v>Trapezoid Ã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'Case 3 - 24 hour'!$A$2:$C$2</c:f>
              <c:strCache>
                <c:ptCount val="1"/>
                <c:pt idx="0">
                  <c:v>Methods of Cumulative Activity (Ã) Estimation</c:v>
                </c:pt>
              </c:strCache>
            </c:strRef>
          </c:cat>
          <c:val>
            <c:numRef>
              <c:f>'Case 3 - 24 hour'!$H$22</c:f>
              <c:numCache>
                <c:formatCode>General</c:formatCode>
                <c:ptCount val="1"/>
                <c:pt idx="0">
                  <c:v>129500.87544999999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36-4729-86B2-24934C316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422016"/>
        <c:axId val="122423552"/>
      </c:barChart>
      <c:catAx>
        <c:axId val="12242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22423552"/>
        <c:crosses val="autoZero"/>
        <c:auto val="1"/>
        <c:lblAlgn val="ctr"/>
        <c:lblOffset val="100"/>
        <c:noMultiLvlLbl val="0"/>
      </c:catAx>
      <c:valAx>
        <c:axId val="12242355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Cumulative Activity (MBq.Hrs)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224220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365325077399389"/>
          <c:y val="0.45905707196029782"/>
          <c:w val="0.14241486068111459"/>
          <c:h val="0.1786600496277915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All</a:t>
            </a:r>
            <a:r>
              <a:rPr lang="en-GB" baseline="0"/>
              <a:t> points vs 24 hour interval (Teff, Mono fit)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'Case 3 - Fit Comparsions'!$C$5</c:f>
              <c:strCache>
                <c:ptCount val="1"/>
                <c:pt idx="0">
                  <c:v>Teff (hours) : All Points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'Case 3 - Fit Comparsions'!$C$6</c:f>
              <c:numCache>
                <c:formatCode>0.00</c:formatCode>
                <c:ptCount val="1"/>
                <c:pt idx="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B7-4969-A2D7-3A2F180647C0}"/>
            </c:ext>
          </c:extLst>
        </c:ser>
        <c:ser>
          <c:idx val="1"/>
          <c:order val="1"/>
          <c:tx>
            <c:strRef>
              <c:f>'Case 3 - Fit Comparsions'!$F$5</c:f>
              <c:strCache>
                <c:ptCount val="1"/>
                <c:pt idx="0">
                  <c:v>Teff (hours): 24 hour interval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'Case 3 - Fit Comparsions'!$F$6</c:f>
              <c:numCache>
                <c:formatCode>0.00</c:formatCode>
                <c:ptCount val="1"/>
                <c:pt idx="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B7-4969-A2D7-3A2F18064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758656"/>
        <c:axId val="122760192"/>
      </c:barChart>
      <c:catAx>
        <c:axId val="12275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2760192"/>
        <c:crosses val="autoZero"/>
        <c:auto val="1"/>
        <c:lblAlgn val="ctr"/>
        <c:lblOffset val="100"/>
        <c:noMultiLvlLbl val="0"/>
      </c:catAx>
      <c:valAx>
        <c:axId val="122760192"/>
        <c:scaling>
          <c:orientation val="minMax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2758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3744075829383895"/>
          <c:y val="0.48327137546468407"/>
          <c:w val="0.34123222748815163"/>
          <c:h val="0.2973977695167285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All points vs 24 hour interval (Teff, Mono fit)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'Case 3 - Fit Comparsions'!$C$10</c:f>
              <c:strCache>
                <c:ptCount val="1"/>
                <c:pt idx="0">
                  <c:v>Mono -exp Ã : All Points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'Case 3 - Fit Comparsions'!$C$11</c:f>
              <c:numCache>
                <c:formatCode>0.00</c:formatCode>
                <c:ptCount val="1"/>
                <c:pt idx="0">
                  <c:v>247965.55290000001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10-429B-9B88-689C68B8C20D}"/>
            </c:ext>
          </c:extLst>
        </c:ser>
        <c:ser>
          <c:idx val="1"/>
          <c:order val="1"/>
          <c:tx>
            <c:strRef>
              <c:f>'Case 3 - Fit Comparsions'!$F$10</c:f>
              <c:strCache>
                <c:ptCount val="1"/>
                <c:pt idx="0">
                  <c:v>Mono -exp Ã : 24 hour sampling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'Case 3 - Fit Comparsions'!$F$11</c:f>
              <c:numCache>
                <c:formatCode>0.00</c:formatCode>
                <c:ptCount val="1"/>
                <c:pt idx="0">
                  <c:v>247965.55290000001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10-429B-9B88-689C68B8C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799616"/>
        <c:axId val="122801152"/>
      </c:barChart>
      <c:catAx>
        <c:axId val="12279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2801152"/>
        <c:crosses val="autoZero"/>
        <c:auto val="1"/>
        <c:lblAlgn val="ctr"/>
        <c:lblOffset val="100"/>
        <c:noMultiLvlLbl val="0"/>
      </c:catAx>
      <c:valAx>
        <c:axId val="122801152"/>
        <c:scaling>
          <c:orientation val="minMax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2799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 i="0" baseline="0">
                <a:effectLst/>
              </a:rPr>
              <a:t>All points vs 24 hour interval (Teff1, Bi fit)</a:t>
            </a:r>
            <a:endParaRPr lang="en-GB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'Case 3 - Fit Comparsions'!$C$5</c:f>
              <c:strCache>
                <c:ptCount val="1"/>
                <c:pt idx="0">
                  <c:v>Teff (hours) : All Points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2B79-4C20-A952-3F508E6C8156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'Case 3 - Fit Comparsions'!$C$23</c:f>
              <c:numCache>
                <c:formatCode>0.00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79-4C20-A952-3F508E6C8156}"/>
            </c:ext>
          </c:extLst>
        </c:ser>
        <c:ser>
          <c:idx val="1"/>
          <c:order val="1"/>
          <c:tx>
            <c:strRef>
              <c:f>'Case 3 - Fit Comparsions'!$F$5</c:f>
              <c:strCache>
                <c:ptCount val="1"/>
                <c:pt idx="0">
                  <c:v>Teff (hours): 24 hour interval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accent6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'Case 3 - Fit Comparsions'!$C$27</c:f>
              <c:numCache>
                <c:formatCode>0.00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79-4C20-A952-3F508E6C8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115776"/>
        <c:axId val="123117568"/>
      </c:barChart>
      <c:catAx>
        <c:axId val="12311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3117568"/>
        <c:crosses val="autoZero"/>
        <c:auto val="1"/>
        <c:lblAlgn val="ctr"/>
        <c:lblOffset val="100"/>
        <c:noMultiLvlLbl val="0"/>
      </c:catAx>
      <c:valAx>
        <c:axId val="123117568"/>
        <c:scaling>
          <c:orientation val="minMax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31157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 i="0" baseline="0">
                <a:effectLst/>
              </a:rPr>
              <a:t>All points vs 24 hour interval (Teff2, Bi fit)</a:t>
            </a:r>
            <a:endParaRPr lang="en-GB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'Case 3 - Fit Comparsions'!$C$5</c:f>
              <c:strCache>
                <c:ptCount val="1"/>
                <c:pt idx="0">
                  <c:v>Teff (hours) : All Points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'Case 3 - Fit Comparsions'!$D$23</c:f>
              <c:numCache>
                <c:formatCode>0.00</c:formatCode>
                <c:ptCount val="1"/>
                <c:pt idx="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E8-4D40-BF58-B730239A5A7F}"/>
            </c:ext>
          </c:extLst>
        </c:ser>
        <c:ser>
          <c:idx val="1"/>
          <c:order val="1"/>
          <c:tx>
            <c:strRef>
              <c:f>'Case 3 - Fit Comparsions'!$F$5</c:f>
              <c:strCache>
                <c:ptCount val="1"/>
                <c:pt idx="0">
                  <c:v>Teff (hours): 24 hour interval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accent6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'Case 3 - Fit Comparsions'!$D$27</c:f>
              <c:numCache>
                <c:formatCode>0.00</c:formatCode>
                <c:ptCount val="1"/>
                <c:pt idx="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E8-4D40-BF58-B730239A5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222272"/>
        <c:axId val="123236352"/>
      </c:barChart>
      <c:catAx>
        <c:axId val="12322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3236352"/>
        <c:crosses val="autoZero"/>
        <c:auto val="1"/>
        <c:lblAlgn val="ctr"/>
        <c:lblOffset val="100"/>
        <c:noMultiLvlLbl val="0"/>
      </c:catAx>
      <c:valAx>
        <c:axId val="123236352"/>
        <c:scaling>
          <c:orientation val="minMax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32222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 i="0" baseline="0">
                <a:effectLst/>
              </a:rPr>
              <a:t>All points vs 24 hour interval (f, Bi fit)</a:t>
            </a:r>
            <a:endParaRPr lang="en-GB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'Case 3 - Fit Comparsions'!$E$22</c:f>
              <c:strCache>
                <c:ptCount val="1"/>
                <c:pt idx="0">
                  <c:v>f All Points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'Case 3 - Fit Comparsions'!$E$23</c:f>
              <c:numCache>
                <c:formatCode>0.00</c:formatCode>
                <c:ptCount val="1"/>
                <c:pt idx="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EF-4DF1-9237-5A826290EA38}"/>
            </c:ext>
          </c:extLst>
        </c:ser>
        <c:ser>
          <c:idx val="1"/>
          <c:order val="1"/>
          <c:tx>
            <c:strRef>
              <c:f>'Case 3 - Fit Comparsions'!$E$26</c:f>
              <c:strCache>
                <c:ptCount val="1"/>
                <c:pt idx="0">
                  <c:v>f 24 hour interval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accent6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'Case 3 - Fit Comparsions'!$E$27</c:f>
              <c:numCache>
                <c:formatCode>0.00</c:formatCode>
                <c:ptCount val="1"/>
                <c:pt idx="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EF-4DF1-9237-5A826290E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259136"/>
        <c:axId val="123269120"/>
      </c:barChart>
      <c:catAx>
        <c:axId val="12325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3269120"/>
        <c:crosses val="autoZero"/>
        <c:auto val="1"/>
        <c:lblAlgn val="ctr"/>
        <c:lblOffset val="100"/>
        <c:noMultiLvlLbl val="0"/>
      </c:catAx>
      <c:valAx>
        <c:axId val="123269120"/>
        <c:scaling>
          <c:orientation val="minMax"/>
          <c:max val="1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32591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Fitted</a:t>
            </a:r>
            <a:r>
              <a:rPr lang="en-GB" baseline="0"/>
              <a:t> Time - Activity Curves: Case 1 (24 hour interval)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'Case 1 - 24 hour sampling'!$A$9:$B$9</c:f>
              <c:strCache>
                <c:ptCount val="1"/>
                <c:pt idx="0">
                  <c:v>Raw A -T Data</c:v>
                </c:pt>
              </c:strCache>
            </c:strRef>
          </c:tx>
          <c:spPr>
            <a:ln w="25400">
              <a:solidFill>
                <a:schemeClr val="accent4">
                  <a:lumMod val="60000"/>
                  <a:lumOff val="40000"/>
                </a:schemeClr>
              </a:solidFill>
            </a:ln>
          </c:spPr>
          <c:xVal>
            <c:numRef>
              <c:f>'Case 1 - 24 hour sampling'!$A$11:$A$18</c:f>
              <c:numCache>
                <c:formatCode>General</c:formatCode>
                <c:ptCount val="8"/>
                <c:pt idx="0">
                  <c:v>0</c:v>
                </c:pt>
                <c:pt idx="1">
                  <c:v>25.22</c:v>
                </c:pt>
                <c:pt idx="2">
                  <c:v>47.97</c:v>
                </c:pt>
                <c:pt idx="3">
                  <c:v>74.28</c:v>
                </c:pt>
                <c:pt idx="4">
                  <c:v>93.62</c:v>
                </c:pt>
                <c:pt idx="5">
                  <c:v>121.55000000000001</c:v>
                </c:pt>
              </c:numCache>
            </c:numRef>
          </c:xVal>
          <c:yVal>
            <c:numRef>
              <c:f>'Case 1 - 24 hour sampling'!$B$11:$B$18</c:f>
              <c:numCache>
                <c:formatCode>General</c:formatCode>
                <c:ptCount val="8"/>
                <c:pt idx="0">
                  <c:v>5495.91</c:v>
                </c:pt>
                <c:pt idx="1">
                  <c:v>2114.79</c:v>
                </c:pt>
                <c:pt idx="2">
                  <c:v>1101.18</c:v>
                </c:pt>
                <c:pt idx="3">
                  <c:v>634.77</c:v>
                </c:pt>
                <c:pt idx="4">
                  <c:v>480.25</c:v>
                </c:pt>
                <c:pt idx="5">
                  <c:v>338.04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91-4C6F-BEF1-163A0DB5D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664768"/>
        <c:axId val="115687424"/>
      </c:scatterChart>
      <c:scatterChart>
        <c:scatterStyle val="smoothMarker"/>
        <c:varyColors val="0"/>
        <c:ser>
          <c:idx val="1"/>
          <c:order val="1"/>
          <c:tx>
            <c:strRef>
              <c:f>'Case 1 - 24 hour sampling'!$C$9:$D$9</c:f>
              <c:strCache>
                <c:ptCount val="1"/>
                <c:pt idx="0">
                  <c:v>Mono-exponential fit curve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'Case 1 - 24 hour sampling'!$A$11:$A$18</c:f>
              <c:numCache>
                <c:formatCode>General</c:formatCode>
                <c:ptCount val="8"/>
                <c:pt idx="0">
                  <c:v>0</c:v>
                </c:pt>
                <c:pt idx="1">
                  <c:v>25.22</c:v>
                </c:pt>
                <c:pt idx="2">
                  <c:v>47.97</c:v>
                </c:pt>
                <c:pt idx="3">
                  <c:v>74.28</c:v>
                </c:pt>
                <c:pt idx="4">
                  <c:v>93.62</c:v>
                </c:pt>
                <c:pt idx="5">
                  <c:v>121.55000000000001</c:v>
                </c:pt>
              </c:numCache>
            </c:numRef>
          </c:xVal>
          <c:yVal>
            <c:numRef>
              <c:f>'Case 1 - 24 hour sampling'!$C$11:$C$18</c:f>
              <c:numCache>
                <c:formatCode>General</c:formatCode>
                <c:ptCount val="8"/>
                <c:pt idx="0">
                  <c:v>5495.91</c:v>
                </c:pt>
                <c:pt idx="1">
                  <c:v>3068.8363462919351</c:v>
                </c:pt>
                <c:pt idx="2">
                  <c:v>1814.2312740406876</c:v>
                </c:pt>
                <c:pt idx="3">
                  <c:v>987.84622127986529</c:v>
                </c:pt>
                <c:pt idx="4">
                  <c:v>631.86651206756926</c:v>
                </c:pt>
                <c:pt idx="5">
                  <c:v>331.41061380544284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291-4C6F-BEF1-163A0DB5D660}"/>
            </c:ext>
          </c:extLst>
        </c:ser>
        <c:ser>
          <c:idx val="2"/>
          <c:order val="2"/>
          <c:tx>
            <c:strRef>
              <c:f>'Case 1 - 24 hour sampling'!$E$9:$F$9</c:f>
              <c:strCache>
                <c:ptCount val="1"/>
                <c:pt idx="0">
                  <c:v>Bi-exponential fit curve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'Case 1 - 24 hour sampling'!$A$11:$A$18</c:f>
              <c:numCache>
                <c:formatCode>General</c:formatCode>
                <c:ptCount val="8"/>
                <c:pt idx="0">
                  <c:v>0</c:v>
                </c:pt>
                <c:pt idx="1">
                  <c:v>25.22</c:v>
                </c:pt>
                <c:pt idx="2">
                  <c:v>47.97</c:v>
                </c:pt>
                <c:pt idx="3">
                  <c:v>74.28</c:v>
                </c:pt>
                <c:pt idx="4">
                  <c:v>93.62</c:v>
                </c:pt>
                <c:pt idx="5">
                  <c:v>121.55000000000001</c:v>
                </c:pt>
              </c:numCache>
            </c:numRef>
          </c:xVal>
          <c:yVal>
            <c:numRef>
              <c:f>'Case 1 - 24 hour sampling'!$E$11:$E$18</c:f>
              <c:numCache>
                <c:formatCode>General</c:formatCode>
                <c:ptCount val="8"/>
                <c:pt idx="0">
                  <c:v>5495.91</c:v>
                </c:pt>
                <c:pt idx="1">
                  <c:v>1534.8577363913409</c:v>
                </c:pt>
                <c:pt idx="2">
                  <c:v>907.11580252307704</c:v>
                </c:pt>
                <c:pt idx="3">
                  <c:v>493.92311065807763</c:v>
                </c:pt>
                <c:pt idx="4">
                  <c:v>315.93325603380691</c:v>
                </c:pt>
                <c:pt idx="5">
                  <c:v>165.70530690272142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291-4C6F-BEF1-163A0DB5D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664768"/>
        <c:axId val="115687424"/>
      </c:scatterChart>
      <c:valAx>
        <c:axId val="115664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After Administration (Hours)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5687424"/>
        <c:crosses val="autoZero"/>
        <c:crossBetween val="midCat"/>
      </c:valAx>
      <c:valAx>
        <c:axId val="1156874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Activity</a:t>
                </a:r>
                <a:r>
                  <a:rPr lang="en-GB" baseline="0"/>
                  <a:t> (MBq)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156647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 i="0" baseline="0">
                <a:effectLst/>
              </a:rPr>
              <a:t>All points vs 24 hour interval (</a:t>
            </a:r>
            <a:r>
              <a:rPr lang="en-GB" sz="1800" b="1" i="0" baseline="0">
                <a:effectLst/>
                <a:latin typeface="Calibri"/>
                <a:cs typeface="Calibri"/>
              </a:rPr>
              <a:t>Ã</a:t>
            </a:r>
            <a:r>
              <a:rPr lang="en-GB" sz="1800" b="1" i="0" baseline="0">
                <a:effectLst/>
              </a:rPr>
              <a:t>, Bi fit)</a:t>
            </a:r>
            <a:endParaRPr lang="en-GB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'Case 3 - Fit Comparsions'!$B$33</c:f>
              <c:strCache>
                <c:ptCount val="1"/>
                <c:pt idx="0">
                  <c:v>Bi-exp Ã All Points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'Case 3 - Fit Comparsions'!$B$34</c:f>
              <c:numCache>
                <c:formatCode>0.00</c:formatCode>
                <c:ptCount val="1"/>
                <c:pt idx="0">
                  <c:v>132220.34593859827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A3-4E02-9EA0-6F4EBEACA971}"/>
            </c:ext>
          </c:extLst>
        </c:ser>
        <c:ser>
          <c:idx val="1"/>
          <c:order val="1"/>
          <c:tx>
            <c:strRef>
              <c:f>'Case 3 - Fit Comparsions'!$D$33</c:f>
              <c:strCache>
                <c:ptCount val="1"/>
                <c:pt idx="0">
                  <c:v>Bi-exp Ã 24 hour interval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C000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'Case 3 - Fit Comparsions'!$D$34</c:f>
              <c:numCache>
                <c:formatCode>0.00</c:formatCode>
                <c:ptCount val="1"/>
                <c:pt idx="0">
                  <c:v>132220.34593859827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A3-4E02-9EA0-6F4EBEACA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300096"/>
        <c:axId val="123310080"/>
      </c:barChart>
      <c:catAx>
        <c:axId val="12330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3310080"/>
        <c:crosses val="autoZero"/>
        <c:auto val="1"/>
        <c:lblAlgn val="ctr"/>
        <c:lblOffset val="100"/>
        <c:noMultiLvlLbl val="0"/>
      </c:catAx>
      <c:valAx>
        <c:axId val="123310080"/>
        <c:scaling>
          <c:orientation val="minMax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3300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789889396121207"/>
          <c:y val="0.48148320966052088"/>
          <c:w val="0.30350214977991574"/>
          <c:h val="0.19753172828705057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Fitted</a:t>
            </a:r>
            <a:r>
              <a:rPr lang="en-GB" baseline="0"/>
              <a:t> Time - Activity Curves: Case 4 (All Time Points)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'Case 4 - full  '!$A$9:$B$9</c:f>
              <c:strCache>
                <c:ptCount val="1"/>
                <c:pt idx="0">
                  <c:v>Raw A -T Data</c:v>
                </c:pt>
              </c:strCache>
            </c:strRef>
          </c:tx>
          <c:spPr>
            <a:ln w="25400">
              <a:solidFill>
                <a:schemeClr val="accent4">
                  <a:lumMod val="60000"/>
                  <a:lumOff val="40000"/>
                </a:schemeClr>
              </a:solidFill>
            </a:ln>
          </c:spPr>
          <c:xVal>
            <c:numRef>
              <c:f>'Case 4 - full  '!$A$11:$A$28</c:f>
              <c:numCache>
                <c:formatCode>General</c:formatCode>
                <c:ptCount val="18"/>
                <c:pt idx="0">
                  <c:v>0</c:v>
                </c:pt>
                <c:pt idx="1">
                  <c:v>2.4700000000000002</c:v>
                </c:pt>
                <c:pt idx="2">
                  <c:v>5</c:v>
                </c:pt>
                <c:pt idx="3">
                  <c:v>7.17</c:v>
                </c:pt>
                <c:pt idx="4">
                  <c:v>17.5</c:v>
                </c:pt>
                <c:pt idx="5">
                  <c:v>19.52</c:v>
                </c:pt>
                <c:pt idx="6">
                  <c:v>23.59</c:v>
                </c:pt>
                <c:pt idx="7">
                  <c:v>26.52</c:v>
                </c:pt>
                <c:pt idx="8">
                  <c:v>31.34</c:v>
                </c:pt>
                <c:pt idx="9">
                  <c:v>41.17</c:v>
                </c:pt>
                <c:pt idx="10">
                  <c:v>43.269999999999996</c:v>
                </c:pt>
                <c:pt idx="11">
                  <c:v>47.699999999999996</c:v>
                </c:pt>
                <c:pt idx="12">
                  <c:v>50.22</c:v>
                </c:pt>
                <c:pt idx="13">
                  <c:v>55.5</c:v>
                </c:pt>
                <c:pt idx="14">
                  <c:v>67.02</c:v>
                </c:pt>
              </c:numCache>
            </c:numRef>
          </c:xVal>
          <c:yVal>
            <c:numRef>
              <c:f>'Case 4 - full  '!$B$11:$B$28</c:f>
              <c:numCache>
                <c:formatCode>General</c:formatCode>
                <c:ptCount val="18"/>
                <c:pt idx="0">
                  <c:v>3816.18</c:v>
                </c:pt>
                <c:pt idx="1">
                  <c:v>3782.52</c:v>
                </c:pt>
                <c:pt idx="2">
                  <c:v>3649.66</c:v>
                </c:pt>
                <c:pt idx="3">
                  <c:v>3405.36</c:v>
                </c:pt>
                <c:pt idx="4">
                  <c:v>2602.7600000000002</c:v>
                </c:pt>
                <c:pt idx="5">
                  <c:v>2402.14</c:v>
                </c:pt>
                <c:pt idx="6">
                  <c:v>2153.02</c:v>
                </c:pt>
                <c:pt idx="7">
                  <c:v>1862.39</c:v>
                </c:pt>
                <c:pt idx="8">
                  <c:v>1686.13</c:v>
                </c:pt>
                <c:pt idx="9">
                  <c:v>1095.05</c:v>
                </c:pt>
                <c:pt idx="10">
                  <c:v>1034.05</c:v>
                </c:pt>
                <c:pt idx="11">
                  <c:v>849.86</c:v>
                </c:pt>
                <c:pt idx="12">
                  <c:v>803.34</c:v>
                </c:pt>
                <c:pt idx="13">
                  <c:v>695.46</c:v>
                </c:pt>
                <c:pt idx="14">
                  <c:v>504.24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FC-428F-AEA3-C2A2ED5B8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579200"/>
        <c:axId val="124581376"/>
      </c:scatterChart>
      <c:scatterChart>
        <c:scatterStyle val="smoothMarker"/>
        <c:varyColors val="0"/>
        <c:ser>
          <c:idx val="1"/>
          <c:order val="1"/>
          <c:tx>
            <c:strRef>
              <c:f>'Case 4 - full  '!$C$9:$D$9</c:f>
              <c:strCache>
                <c:ptCount val="1"/>
                <c:pt idx="0">
                  <c:v>Mono-exponential fit curve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'Case 4 - full  '!$A$11:$A$28</c:f>
              <c:numCache>
                <c:formatCode>General</c:formatCode>
                <c:ptCount val="18"/>
                <c:pt idx="0">
                  <c:v>0</c:v>
                </c:pt>
                <c:pt idx="1">
                  <c:v>2.4700000000000002</c:v>
                </c:pt>
                <c:pt idx="2">
                  <c:v>5</c:v>
                </c:pt>
                <c:pt idx="3">
                  <c:v>7.17</c:v>
                </c:pt>
                <c:pt idx="4">
                  <c:v>17.5</c:v>
                </c:pt>
                <c:pt idx="5">
                  <c:v>19.52</c:v>
                </c:pt>
                <c:pt idx="6">
                  <c:v>23.59</c:v>
                </c:pt>
                <c:pt idx="7">
                  <c:v>26.52</c:v>
                </c:pt>
                <c:pt idx="8">
                  <c:v>31.34</c:v>
                </c:pt>
                <c:pt idx="9">
                  <c:v>41.17</c:v>
                </c:pt>
                <c:pt idx="10">
                  <c:v>43.269999999999996</c:v>
                </c:pt>
                <c:pt idx="11">
                  <c:v>47.699999999999996</c:v>
                </c:pt>
                <c:pt idx="12">
                  <c:v>50.22</c:v>
                </c:pt>
                <c:pt idx="13">
                  <c:v>55.5</c:v>
                </c:pt>
                <c:pt idx="14">
                  <c:v>67.02</c:v>
                </c:pt>
              </c:numCache>
            </c:numRef>
          </c:xVal>
          <c:yVal>
            <c:numRef>
              <c:f>'Case 4 - full  '!$C$11:$C$28</c:f>
              <c:numCache>
                <c:formatCode>General</c:formatCode>
                <c:ptCount val="18"/>
                <c:pt idx="0">
                  <c:v>3816.18</c:v>
                </c:pt>
                <c:pt idx="1">
                  <c:v>3604.4918522398989</c:v>
                </c:pt>
                <c:pt idx="2">
                  <c:v>3399.8298701927997</c:v>
                </c:pt>
                <c:pt idx="3">
                  <c:v>3233.5730915926779</c:v>
                </c:pt>
                <c:pt idx="4">
                  <c:v>2546.994577343301</c:v>
                </c:pt>
                <c:pt idx="5">
                  <c:v>2430.8528352798598</c:v>
                </c:pt>
                <c:pt idx="6">
                  <c:v>2212.6816346880073</c:v>
                </c:pt>
                <c:pt idx="7">
                  <c:v>2067.8466800768565</c:v>
                </c:pt>
                <c:pt idx="8">
                  <c:v>1849.9195796019724</c:v>
                </c:pt>
                <c:pt idx="9">
                  <c:v>1474.0606530008813</c:v>
                </c:pt>
                <c:pt idx="10">
                  <c:v>1404.2461894700991</c:v>
                </c:pt>
                <c:pt idx="11">
                  <c:v>1267.6260575097065</c:v>
                </c:pt>
                <c:pt idx="12">
                  <c:v>1195.9269104863388</c:v>
                </c:pt>
                <c:pt idx="13">
                  <c:v>1058.5792069789672</c:v>
                </c:pt>
                <c:pt idx="14">
                  <c:v>811.19981103844589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2FC-428F-AEA3-C2A2ED5B82F7}"/>
            </c:ext>
          </c:extLst>
        </c:ser>
        <c:ser>
          <c:idx val="2"/>
          <c:order val="2"/>
          <c:tx>
            <c:strRef>
              <c:f>'Case 4 - full  '!$E$9:$F$9</c:f>
              <c:strCache>
                <c:ptCount val="1"/>
                <c:pt idx="0">
                  <c:v>Bi-exponential fit curve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'Case 4 - full  '!$A$11:$A$28</c:f>
              <c:numCache>
                <c:formatCode>General</c:formatCode>
                <c:ptCount val="18"/>
                <c:pt idx="0">
                  <c:v>0</c:v>
                </c:pt>
                <c:pt idx="1">
                  <c:v>2.4700000000000002</c:v>
                </c:pt>
                <c:pt idx="2">
                  <c:v>5</c:v>
                </c:pt>
                <c:pt idx="3">
                  <c:v>7.17</c:v>
                </c:pt>
                <c:pt idx="4">
                  <c:v>17.5</c:v>
                </c:pt>
                <c:pt idx="5">
                  <c:v>19.52</c:v>
                </c:pt>
                <c:pt idx="6">
                  <c:v>23.59</c:v>
                </c:pt>
                <c:pt idx="7">
                  <c:v>26.52</c:v>
                </c:pt>
                <c:pt idx="8">
                  <c:v>31.34</c:v>
                </c:pt>
                <c:pt idx="9">
                  <c:v>41.17</c:v>
                </c:pt>
                <c:pt idx="10">
                  <c:v>43.269999999999996</c:v>
                </c:pt>
                <c:pt idx="11">
                  <c:v>47.699999999999996</c:v>
                </c:pt>
                <c:pt idx="12">
                  <c:v>50.22</c:v>
                </c:pt>
                <c:pt idx="13">
                  <c:v>55.5</c:v>
                </c:pt>
                <c:pt idx="14">
                  <c:v>67.02</c:v>
                </c:pt>
              </c:numCache>
            </c:numRef>
          </c:xVal>
          <c:yVal>
            <c:numRef>
              <c:f>'Case 4 - full  '!$E$11:$E$28</c:f>
              <c:numCache>
                <c:formatCode>General</c:formatCode>
                <c:ptCount val="18"/>
                <c:pt idx="0">
                  <c:v>3816.18</c:v>
                </c:pt>
                <c:pt idx="1">
                  <c:v>3604.4918522398989</c:v>
                </c:pt>
                <c:pt idx="2">
                  <c:v>3399.8298701927997</c:v>
                </c:pt>
                <c:pt idx="3">
                  <c:v>3233.5730915926779</c:v>
                </c:pt>
                <c:pt idx="4">
                  <c:v>2546.994577343301</c:v>
                </c:pt>
                <c:pt idx="5">
                  <c:v>2430.8528352798598</c:v>
                </c:pt>
                <c:pt idx="6">
                  <c:v>2212.6816346880073</c:v>
                </c:pt>
                <c:pt idx="7">
                  <c:v>2067.8466800768565</c:v>
                </c:pt>
                <c:pt idx="8">
                  <c:v>1849.9195796019724</c:v>
                </c:pt>
                <c:pt idx="9">
                  <c:v>1474.0606530008813</c:v>
                </c:pt>
                <c:pt idx="10">
                  <c:v>1404.2461894700991</c:v>
                </c:pt>
                <c:pt idx="11">
                  <c:v>1267.6260575097065</c:v>
                </c:pt>
                <c:pt idx="12">
                  <c:v>1195.9269104863388</c:v>
                </c:pt>
                <c:pt idx="13">
                  <c:v>1058.5792069789672</c:v>
                </c:pt>
                <c:pt idx="14">
                  <c:v>811.19981103844589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2FC-428F-AEA3-C2A2ED5B8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579200"/>
        <c:axId val="124581376"/>
      </c:scatterChart>
      <c:valAx>
        <c:axId val="124579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After Administration (Hours)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4581376"/>
        <c:crosses val="autoZero"/>
        <c:crossBetween val="midCat"/>
      </c:valAx>
      <c:valAx>
        <c:axId val="1245813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Activity</a:t>
                </a:r>
                <a:r>
                  <a:rPr lang="en-GB" baseline="0"/>
                  <a:t> (MBq)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245792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>
                <a:latin typeface="Calibri"/>
                <a:cs typeface="Calibri"/>
              </a:rPr>
              <a:t>Ã Comparison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'Case 4 - full  '!$C$32</c:f>
              <c:strCache>
                <c:ptCount val="1"/>
                <c:pt idx="0">
                  <c:v>Mono -exp Ã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'Case 4 - full  '!$A$2:$C$2</c:f>
              <c:strCache>
                <c:ptCount val="1"/>
                <c:pt idx="0">
                  <c:v>Methods of Cumulative Activity (Ã) Estimation</c:v>
                </c:pt>
              </c:strCache>
            </c:strRef>
          </c:cat>
          <c:val>
            <c:numRef>
              <c:f>'Case 4 - full  '!$C$33</c:f>
              <c:numCache>
                <c:formatCode>General</c:formatCode>
                <c:ptCount val="1"/>
                <c:pt idx="0">
                  <c:v>165202.43219999998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1-4D24-A5DF-9B29720FDAD8}"/>
            </c:ext>
          </c:extLst>
        </c:ser>
        <c:ser>
          <c:idx val="1"/>
          <c:order val="1"/>
          <c:tx>
            <c:strRef>
              <c:f>'Case 4 - full  '!$E$32</c:f>
              <c:strCache>
                <c:ptCount val="1"/>
                <c:pt idx="0">
                  <c:v>Bi-exp Ã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'Case 4 - full  '!$A$2:$C$2</c:f>
              <c:strCache>
                <c:ptCount val="1"/>
                <c:pt idx="0">
                  <c:v>Methods of Cumulative Activity (Ã) Estimation</c:v>
                </c:pt>
              </c:strCache>
            </c:strRef>
          </c:cat>
          <c:val>
            <c:numRef>
              <c:f>'Case 4 - full  '!$E$33</c:f>
              <c:numCache>
                <c:formatCode>General</c:formatCode>
                <c:ptCount val="1"/>
                <c:pt idx="0">
                  <c:v>165167.51883418934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71-4D24-A5DF-9B29720FDAD8}"/>
            </c:ext>
          </c:extLst>
        </c:ser>
        <c:ser>
          <c:idx val="2"/>
          <c:order val="2"/>
          <c:tx>
            <c:strRef>
              <c:f>'Case 4 - full  '!$H$32</c:f>
              <c:strCache>
                <c:ptCount val="1"/>
                <c:pt idx="0">
                  <c:v>Trapezoid Ã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'Case 4 - full  '!$A$2:$C$2</c:f>
              <c:strCache>
                <c:ptCount val="1"/>
                <c:pt idx="0">
                  <c:v>Methods of Cumulative Activity (Ã) Estimation</c:v>
                </c:pt>
              </c:strCache>
            </c:strRef>
          </c:cat>
          <c:val>
            <c:numRef>
              <c:f>'Case 4 - full  '!$H$33</c:f>
              <c:numCache>
                <c:formatCode>General</c:formatCode>
                <c:ptCount val="1"/>
                <c:pt idx="0">
                  <c:v>141043.16649999999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71-4D24-A5DF-9B29720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494592"/>
        <c:axId val="124496128"/>
      </c:barChart>
      <c:catAx>
        <c:axId val="12449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24496128"/>
        <c:crosses val="autoZero"/>
        <c:auto val="1"/>
        <c:lblAlgn val="ctr"/>
        <c:lblOffset val="100"/>
        <c:noMultiLvlLbl val="0"/>
      </c:catAx>
      <c:valAx>
        <c:axId val="12449612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Cumulative Activity (MBq.Hrs)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244945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Fitted</a:t>
            </a:r>
            <a:r>
              <a:rPr lang="en-GB" baseline="0"/>
              <a:t> Time - Activity Curves: Case 4 (Peak Removed)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'Case 4 - Peak removed'!$A$9:$B$9</c:f>
              <c:strCache>
                <c:ptCount val="1"/>
                <c:pt idx="0">
                  <c:v>Raw A -T Data</c:v>
                </c:pt>
              </c:strCache>
            </c:strRef>
          </c:tx>
          <c:spPr>
            <a:ln w="25400">
              <a:solidFill>
                <a:schemeClr val="accent4">
                  <a:lumMod val="60000"/>
                  <a:lumOff val="40000"/>
                </a:schemeClr>
              </a:solidFill>
            </a:ln>
          </c:spPr>
          <c:xVal>
            <c:numRef>
              <c:f>'Case 4 - Peak removed'!$A$11:$A$28</c:f>
              <c:numCache>
                <c:formatCode>General</c:formatCode>
                <c:ptCount val="18"/>
                <c:pt idx="0">
                  <c:v>0</c:v>
                </c:pt>
                <c:pt idx="1">
                  <c:v>2.4700000000000002</c:v>
                </c:pt>
                <c:pt idx="2">
                  <c:v>5</c:v>
                </c:pt>
                <c:pt idx="3">
                  <c:v>7.17</c:v>
                </c:pt>
                <c:pt idx="4">
                  <c:v>17.5</c:v>
                </c:pt>
                <c:pt idx="5">
                  <c:v>19.52</c:v>
                </c:pt>
                <c:pt idx="6">
                  <c:v>23.59</c:v>
                </c:pt>
                <c:pt idx="7">
                  <c:v>26.52</c:v>
                </c:pt>
                <c:pt idx="8">
                  <c:v>31.34</c:v>
                </c:pt>
                <c:pt idx="9">
                  <c:v>41.17</c:v>
                </c:pt>
                <c:pt idx="10">
                  <c:v>43.269999999999996</c:v>
                </c:pt>
                <c:pt idx="11">
                  <c:v>47.699999999999996</c:v>
                </c:pt>
                <c:pt idx="12">
                  <c:v>50.22</c:v>
                </c:pt>
                <c:pt idx="13">
                  <c:v>55.5</c:v>
                </c:pt>
                <c:pt idx="14">
                  <c:v>67.02</c:v>
                </c:pt>
              </c:numCache>
            </c:numRef>
          </c:xVal>
          <c:yVal>
            <c:numRef>
              <c:f>'Case 4 - Peak removed'!$B$11:$B$28</c:f>
              <c:numCache>
                <c:formatCode>General</c:formatCode>
                <c:ptCount val="18"/>
                <c:pt idx="0">
                  <c:v>3816.18</c:v>
                </c:pt>
                <c:pt idx="1">
                  <c:v>3782.52</c:v>
                </c:pt>
                <c:pt idx="2">
                  <c:v>3649.66</c:v>
                </c:pt>
                <c:pt idx="3">
                  <c:v>3405.36</c:v>
                </c:pt>
                <c:pt idx="4">
                  <c:v>2602.7600000000002</c:v>
                </c:pt>
                <c:pt idx="5">
                  <c:v>2402.14</c:v>
                </c:pt>
                <c:pt idx="6">
                  <c:v>2153.02</c:v>
                </c:pt>
                <c:pt idx="7">
                  <c:v>1862.39</c:v>
                </c:pt>
                <c:pt idx="8">
                  <c:v>1686.13</c:v>
                </c:pt>
                <c:pt idx="9">
                  <c:v>1095.05</c:v>
                </c:pt>
                <c:pt idx="10">
                  <c:v>1034.05</c:v>
                </c:pt>
                <c:pt idx="11">
                  <c:v>849.86</c:v>
                </c:pt>
                <c:pt idx="12">
                  <c:v>803.34</c:v>
                </c:pt>
                <c:pt idx="13">
                  <c:v>695.46</c:v>
                </c:pt>
                <c:pt idx="14">
                  <c:v>504.24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5E8-482B-923B-92970ACE2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842496"/>
        <c:axId val="122856960"/>
      </c:scatterChart>
      <c:scatterChart>
        <c:scatterStyle val="smoothMarker"/>
        <c:varyColors val="0"/>
        <c:ser>
          <c:idx val="1"/>
          <c:order val="1"/>
          <c:tx>
            <c:strRef>
              <c:f>'Case 4 - Peak removed'!$C$9:$D$9</c:f>
              <c:strCache>
                <c:ptCount val="1"/>
                <c:pt idx="0">
                  <c:v>Mono-exponential fit curve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'Case 4 - Peak removed'!$A$13:$A$25</c:f>
              <c:numCache>
                <c:formatCode>General</c:formatCode>
                <c:ptCount val="13"/>
                <c:pt idx="0">
                  <c:v>5</c:v>
                </c:pt>
                <c:pt idx="1">
                  <c:v>7.17</c:v>
                </c:pt>
                <c:pt idx="2">
                  <c:v>17.5</c:v>
                </c:pt>
                <c:pt idx="3">
                  <c:v>19.52</c:v>
                </c:pt>
                <c:pt idx="4">
                  <c:v>23.59</c:v>
                </c:pt>
                <c:pt idx="5">
                  <c:v>26.52</c:v>
                </c:pt>
                <c:pt idx="6">
                  <c:v>31.34</c:v>
                </c:pt>
                <c:pt idx="7">
                  <c:v>41.17</c:v>
                </c:pt>
                <c:pt idx="8">
                  <c:v>43.269999999999996</c:v>
                </c:pt>
                <c:pt idx="9">
                  <c:v>47.699999999999996</c:v>
                </c:pt>
                <c:pt idx="10">
                  <c:v>50.22</c:v>
                </c:pt>
                <c:pt idx="11">
                  <c:v>55.5</c:v>
                </c:pt>
                <c:pt idx="12">
                  <c:v>67.02</c:v>
                </c:pt>
              </c:numCache>
            </c:numRef>
          </c:xVal>
          <c:yVal>
            <c:numRef>
              <c:f>'Case 4 - Peak removed'!$C$13:$C$25</c:f>
              <c:numCache>
                <c:formatCode>General</c:formatCode>
                <c:ptCount val="13"/>
                <c:pt idx="0">
                  <c:v>3649.66</c:v>
                </c:pt>
                <c:pt idx="1">
                  <c:v>3471.1861534391678</c:v>
                </c:pt>
                <c:pt idx="2">
                  <c:v>2734.1557030968747</c:v>
                </c:pt>
                <c:pt idx="3">
                  <c:v>2609.4795026624038</c:v>
                </c:pt>
                <c:pt idx="4">
                  <c:v>2375.276400050418</c:v>
                </c:pt>
                <c:pt idx="5">
                  <c:v>2219.7985200892781</c:v>
                </c:pt>
                <c:pt idx="6">
                  <c:v>1985.857454834133</c:v>
                </c:pt>
                <c:pt idx="7">
                  <c:v>1582.3792390311912</c:v>
                </c:pt>
                <c:pt idx="8">
                  <c:v>1507.4345904169631</c:v>
                </c:pt>
                <c:pt idx="9">
                  <c:v>1360.7751839619311</c:v>
                </c:pt>
                <c:pt idx="10">
                  <c:v>1283.8073594188559</c:v>
                </c:pt>
                <c:pt idx="11">
                  <c:v>1136.3669171845256</c:v>
                </c:pt>
                <c:pt idx="12">
                  <c:v>870.80930969839437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5E8-482B-923B-92970ACE283E}"/>
            </c:ext>
          </c:extLst>
        </c:ser>
        <c:ser>
          <c:idx val="2"/>
          <c:order val="2"/>
          <c:tx>
            <c:strRef>
              <c:f>'Case 4 - Peak removed'!$E$9:$F$9</c:f>
              <c:strCache>
                <c:ptCount val="1"/>
                <c:pt idx="0">
                  <c:v>Bi-exponential fit curve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'Case 4 - Peak removed'!$A$13:$A$25</c:f>
              <c:numCache>
                <c:formatCode>General</c:formatCode>
                <c:ptCount val="13"/>
                <c:pt idx="0">
                  <c:v>5</c:v>
                </c:pt>
                <c:pt idx="1">
                  <c:v>7.17</c:v>
                </c:pt>
                <c:pt idx="2">
                  <c:v>17.5</c:v>
                </c:pt>
                <c:pt idx="3">
                  <c:v>19.52</c:v>
                </c:pt>
                <c:pt idx="4">
                  <c:v>23.59</c:v>
                </c:pt>
                <c:pt idx="5">
                  <c:v>26.52</c:v>
                </c:pt>
                <c:pt idx="6">
                  <c:v>31.34</c:v>
                </c:pt>
                <c:pt idx="7">
                  <c:v>41.17</c:v>
                </c:pt>
                <c:pt idx="8">
                  <c:v>43.269999999999996</c:v>
                </c:pt>
                <c:pt idx="9">
                  <c:v>47.699999999999996</c:v>
                </c:pt>
                <c:pt idx="10">
                  <c:v>50.22</c:v>
                </c:pt>
                <c:pt idx="11">
                  <c:v>55.5</c:v>
                </c:pt>
                <c:pt idx="12">
                  <c:v>67.02</c:v>
                </c:pt>
              </c:numCache>
            </c:numRef>
          </c:xVal>
          <c:yVal>
            <c:numRef>
              <c:f>'Case 4 - Peak removed'!$E$13:$E$25</c:f>
              <c:numCache>
                <c:formatCode>General</c:formatCode>
                <c:ptCount val="13"/>
                <c:pt idx="0">
                  <c:v>3649.66</c:v>
                </c:pt>
                <c:pt idx="1">
                  <c:v>3471.1861534391678</c:v>
                </c:pt>
                <c:pt idx="2">
                  <c:v>2734.1557030968747</c:v>
                </c:pt>
                <c:pt idx="3">
                  <c:v>2609.4795026624038</c:v>
                </c:pt>
                <c:pt idx="4">
                  <c:v>2375.276400050418</c:v>
                </c:pt>
                <c:pt idx="5">
                  <c:v>2219.7985200892781</c:v>
                </c:pt>
                <c:pt idx="6">
                  <c:v>1985.857454834133</c:v>
                </c:pt>
                <c:pt idx="7">
                  <c:v>1582.3792390311912</c:v>
                </c:pt>
                <c:pt idx="8">
                  <c:v>1507.4345904169631</c:v>
                </c:pt>
                <c:pt idx="9">
                  <c:v>1360.7751839619311</c:v>
                </c:pt>
                <c:pt idx="10">
                  <c:v>1283.8073594188559</c:v>
                </c:pt>
                <c:pt idx="11">
                  <c:v>1136.3669171845256</c:v>
                </c:pt>
                <c:pt idx="12">
                  <c:v>870.80930969839437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5E8-482B-923B-92970ACE283E}"/>
            </c:ext>
          </c:extLst>
        </c:ser>
        <c:ser>
          <c:idx val="3"/>
          <c:order val="3"/>
          <c:tx>
            <c:strRef>
              <c:f>'Case 4 - Peak removed'!$H$9</c:f>
              <c:strCache>
                <c:ptCount val="1"/>
                <c:pt idx="0">
                  <c:v>Trapezoid Integration</c:v>
                </c:pt>
              </c:strCache>
            </c:strRef>
          </c:tx>
          <c:marker>
            <c:symbol val="none"/>
          </c:marker>
          <c:xVal>
            <c:numRef>
              <c:f>'Case 4 - Peak removed'!$A$11:$A$13</c:f>
              <c:numCache>
                <c:formatCode>General</c:formatCode>
                <c:ptCount val="3"/>
                <c:pt idx="0">
                  <c:v>0</c:v>
                </c:pt>
                <c:pt idx="1">
                  <c:v>2.4700000000000002</c:v>
                </c:pt>
                <c:pt idx="2">
                  <c:v>5</c:v>
                </c:pt>
              </c:numCache>
            </c:numRef>
          </c:xVal>
          <c:yVal>
            <c:numRef>
              <c:f>'Case 4 - Peak removed'!$B$11:$B$13</c:f>
              <c:numCache>
                <c:formatCode>General</c:formatCode>
                <c:ptCount val="3"/>
                <c:pt idx="0">
                  <c:v>3816.18</c:v>
                </c:pt>
                <c:pt idx="1">
                  <c:v>3782.52</c:v>
                </c:pt>
                <c:pt idx="2">
                  <c:v>3649.66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5E8-482B-923B-92970ACE2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842496"/>
        <c:axId val="122856960"/>
      </c:scatterChart>
      <c:valAx>
        <c:axId val="122842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After Administration (Hours)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2856960"/>
        <c:crosses val="autoZero"/>
        <c:crossBetween val="midCat"/>
      </c:valAx>
      <c:valAx>
        <c:axId val="1228569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Activity</a:t>
                </a:r>
                <a:r>
                  <a:rPr lang="en-GB" baseline="0"/>
                  <a:t> (MBq)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228424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>
                <a:latin typeface="Calibri"/>
                <a:cs typeface="Calibri"/>
              </a:rPr>
              <a:t>Ã Comparison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'Case 4 - Peak removed'!$C$32</c:f>
              <c:strCache>
                <c:ptCount val="1"/>
                <c:pt idx="0">
                  <c:v>Mono -exp Ã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'Case 4 - Peak removed'!$A$2:$C$2</c:f>
              <c:strCache>
                <c:ptCount val="1"/>
                <c:pt idx="0">
                  <c:v>Methods of Cumulative Activity (Ã) Estimation</c:v>
                </c:pt>
              </c:strCache>
            </c:strRef>
          </c:cat>
          <c:val>
            <c:numRef>
              <c:f>'Case 4 - Peak removed'!$C$33</c:f>
              <c:numCache>
                <c:formatCode>General</c:formatCode>
                <c:ptCount val="1"/>
                <c:pt idx="0">
                  <c:v>176779.8836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EE-4625-84BD-39543C4527AE}"/>
            </c:ext>
          </c:extLst>
        </c:ser>
        <c:ser>
          <c:idx val="1"/>
          <c:order val="1"/>
          <c:tx>
            <c:strRef>
              <c:f>'Case 4 - Peak removed'!$E$32</c:f>
              <c:strCache>
                <c:ptCount val="1"/>
                <c:pt idx="0">
                  <c:v>Bi-exp Ã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'Case 4 - Peak removed'!$A$2:$C$2</c:f>
              <c:strCache>
                <c:ptCount val="1"/>
                <c:pt idx="0">
                  <c:v>Methods of Cumulative Activity (Ã) Estimation</c:v>
                </c:pt>
              </c:strCache>
            </c:strRef>
          </c:cat>
          <c:val>
            <c:numRef>
              <c:f>'Case 4 - Peak removed'!$E$33</c:f>
              <c:numCache>
                <c:formatCode>General</c:formatCode>
                <c:ptCount val="1"/>
                <c:pt idx="0">
                  <c:v>176746.49368792443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EE-4625-84BD-39543C4527AE}"/>
            </c:ext>
          </c:extLst>
        </c:ser>
        <c:ser>
          <c:idx val="2"/>
          <c:order val="2"/>
          <c:tx>
            <c:strRef>
              <c:f>'Case 4 - Peak removed'!$H$32</c:f>
              <c:strCache>
                <c:ptCount val="1"/>
                <c:pt idx="0">
                  <c:v>Trapezoid Ã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'Case 4 - Peak removed'!$A$2:$C$2</c:f>
              <c:strCache>
                <c:ptCount val="1"/>
                <c:pt idx="0">
                  <c:v>Methods of Cumulative Activity (Ã) Estimation</c:v>
                </c:pt>
              </c:strCache>
            </c:strRef>
          </c:cat>
          <c:val>
            <c:numRef>
              <c:f>'Case 4 - Peak removed'!$H$33</c:f>
              <c:numCache>
                <c:formatCode>General</c:formatCode>
                <c:ptCount val="1"/>
                <c:pt idx="0">
                  <c:v>141043.16649999999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EE-4625-84BD-39543C452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888960"/>
        <c:axId val="122890496"/>
      </c:barChart>
      <c:catAx>
        <c:axId val="12288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22890496"/>
        <c:crosses val="autoZero"/>
        <c:auto val="1"/>
        <c:lblAlgn val="ctr"/>
        <c:lblOffset val="100"/>
        <c:noMultiLvlLbl val="0"/>
      </c:catAx>
      <c:valAx>
        <c:axId val="12289049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Cumulative Activity (MBq.Hrs)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22888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All</a:t>
            </a:r>
            <a:r>
              <a:rPr lang="en-GB" baseline="0"/>
              <a:t> points vs Peak Removed (Teff, Mono fit)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'Case 4 - Fit Comparsions '!$C$5</c:f>
              <c:strCache>
                <c:ptCount val="1"/>
                <c:pt idx="0">
                  <c:v>Teff (hours) : All Points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'Case 4 - Fit Comparsions '!$C$6</c:f>
              <c:numCache>
                <c:formatCode>0.00</c:formatCode>
                <c:ptCount val="1"/>
                <c:pt idx="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2-4570-9677-5D2093188FD8}"/>
            </c:ext>
          </c:extLst>
        </c:ser>
        <c:ser>
          <c:idx val="1"/>
          <c:order val="1"/>
          <c:tx>
            <c:strRef>
              <c:f>'Case 4 - Fit Comparsions '!$F$5</c:f>
              <c:strCache>
                <c:ptCount val="1"/>
                <c:pt idx="0">
                  <c:v>Teff (hours): Peak Removed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'Case 4 - Fit Comparsions '!$F$6</c:f>
              <c:numCache>
                <c:formatCode>0.00</c:formatCode>
                <c:ptCount val="1"/>
                <c:pt idx="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82-4570-9677-5D2093188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963456"/>
        <c:axId val="122964992"/>
      </c:barChart>
      <c:catAx>
        <c:axId val="12296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2964992"/>
        <c:crosses val="autoZero"/>
        <c:auto val="1"/>
        <c:lblAlgn val="ctr"/>
        <c:lblOffset val="100"/>
        <c:noMultiLvlLbl val="0"/>
      </c:catAx>
      <c:valAx>
        <c:axId val="122964992"/>
        <c:scaling>
          <c:orientation val="minMax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29634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3744075829383895"/>
          <c:y val="0.48327137546468407"/>
          <c:w val="0.34123222748815163"/>
          <c:h val="0.2973977695167285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All points vs Peak Removed (Teff, Mono fit)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'Case 4 - Fit Comparsions '!$C$10</c:f>
              <c:strCache>
                <c:ptCount val="1"/>
                <c:pt idx="0">
                  <c:v>Mono -exp Ã : All Points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'Case 4 - Fit Comparsions '!$C$11</c:f>
              <c:numCache>
                <c:formatCode>0.00</c:formatCode>
                <c:ptCount val="1"/>
                <c:pt idx="0">
                  <c:v>165202.43219999998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C4-44E0-92D4-769F768F485E}"/>
            </c:ext>
          </c:extLst>
        </c:ser>
        <c:ser>
          <c:idx val="1"/>
          <c:order val="1"/>
          <c:tx>
            <c:strRef>
              <c:f>'Case 4 - Fit Comparsions '!$F$10</c:f>
              <c:strCache>
                <c:ptCount val="1"/>
                <c:pt idx="0">
                  <c:v>Mono -exp Ã : Peak Removed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'Case 4 - Fit Comparsions '!$F$11</c:f>
              <c:numCache>
                <c:formatCode>0.00</c:formatCode>
                <c:ptCount val="1"/>
                <c:pt idx="0">
                  <c:v>176779.8836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C4-44E0-92D4-769F768F4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716544"/>
        <c:axId val="124718080"/>
      </c:barChart>
      <c:catAx>
        <c:axId val="12471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4718080"/>
        <c:crosses val="autoZero"/>
        <c:auto val="1"/>
        <c:lblAlgn val="ctr"/>
        <c:lblOffset val="100"/>
        <c:noMultiLvlLbl val="0"/>
      </c:catAx>
      <c:valAx>
        <c:axId val="124718080"/>
        <c:scaling>
          <c:orientation val="minMax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47165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 i="0" baseline="0">
                <a:effectLst/>
              </a:rPr>
              <a:t>All points vs Peak Removed (Teff1, Bi fit)</a:t>
            </a:r>
            <a:endParaRPr lang="en-GB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'Case 4 - Fit Comparsions '!$C$5</c:f>
              <c:strCache>
                <c:ptCount val="1"/>
                <c:pt idx="0">
                  <c:v>Teff (hours) : All Points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6F5E-4242-8ACB-4E376BBD68FF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'Case 4 - Fit Comparsions '!$C$23</c:f>
              <c:numCache>
                <c:formatCode>0.00</c:formatCode>
                <c:ptCount val="1"/>
                <c:pt idx="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5E-4242-8ACB-4E376BBD68FF}"/>
            </c:ext>
          </c:extLst>
        </c:ser>
        <c:ser>
          <c:idx val="1"/>
          <c:order val="1"/>
          <c:tx>
            <c:strRef>
              <c:f>'Case 4 - Fit Comparsions '!$F$5</c:f>
              <c:strCache>
                <c:ptCount val="1"/>
                <c:pt idx="0">
                  <c:v>Teff (hours): Peak Removed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accent6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'Case 4 - Fit Comparsions '!$C$27</c:f>
              <c:numCache>
                <c:formatCode>0.00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5E-4242-8ACB-4E376BBD6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750080"/>
        <c:axId val="124760064"/>
      </c:barChart>
      <c:catAx>
        <c:axId val="12475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4760064"/>
        <c:crosses val="autoZero"/>
        <c:auto val="1"/>
        <c:lblAlgn val="ctr"/>
        <c:lblOffset val="100"/>
        <c:noMultiLvlLbl val="0"/>
      </c:catAx>
      <c:valAx>
        <c:axId val="124760064"/>
        <c:scaling>
          <c:orientation val="minMax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4750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 i="0" baseline="0">
                <a:effectLst/>
              </a:rPr>
              <a:t>All points vs Peak Removed (Teff2, Bi fit)</a:t>
            </a:r>
            <a:endParaRPr lang="en-GB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'Case 4 - Fit Comparsions '!$C$5</c:f>
              <c:strCache>
                <c:ptCount val="1"/>
                <c:pt idx="0">
                  <c:v>Teff (hours) : All Points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'Case 4 - Fit Comparsions '!$D$23</c:f>
              <c:numCache>
                <c:formatCode>0.00</c:formatCode>
                <c:ptCount val="1"/>
                <c:pt idx="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1C-46AA-AA55-695A2C2192D0}"/>
            </c:ext>
          </c:extLst>
        </c:ser>
        <c:ser>
          <c:idx val="1"/>
          <c:order val="1"/>
          <c:tx>
            <c:strRef>
              <c:f>'Case 4 - Fit Comparsions '!$F$5</c:f>
              <c:strCache>
                <c:ptCount val="1"/>
                <c:pt idx="0">
                  <c:v>Teff (hours): Peak Removed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accent6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'Case 4 - Fit Comparsions '!$D$27</c:f>
              <c:numCache>
                <c:formatCode>0.00</c:formatCode>
                <c:ptCount val="1"/>
                <c:pt idx="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1C-46AA-AA55-695A2C219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786944"/>
        <c:axId val="124809216"/>
      </c:barChart>
      <c:catAx>
        <c:axId val="12478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4809216"/>
        <c:crosses val="autoZero"/>
        <c:auto val="1"/>
        <c:lblAlgn val="ctr"/>
        <c:lblOffset val="100"/>
        <c:noMultiLvlLbl val="0"/>
      </c:catAx>
      <c:valAx>
        <c:axId val="124809216"/>
        <c:scaling>
          <c:orientation val="minMax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47869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 i="0" baseline="0">
                <a:effectLst/>
              </a:rPr>
              <a:t>All points vs Peak Removed (f, Bi fit)</a:t>
            </a:r>
            <a:endParaRPr lang="en-GB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'Case 4 - Fit Comparsions '!$E$22</c:f>
              <c:strCache>
                <c:ptCount val="1"/>
                <c:pt idx="0">
                  <c:v>f All Points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'Case 4 - Fit Comparsions '!$E$23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51-442F-8E07-950032DCD54A}"/>
            </c:ext>
          </c:extLst>
        </c:ser>
        <c:ser>
          <c:idx val="1"/>
          <c:order val="1"/>
          <c:tx>
            <c:strRef>
              <c:f>'Case 4 - Fit Comparsions '!$E$26</c:f>
              <c:strCache>
                <c:ptCount val="1"/>
                <c:pt idx="0">
                  <c:v>f Peak Removed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accent6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'Case 4 - Fit Comparsions '!$E$27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51-442F-8E07-950032DCD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827904"/>
        <c:axId val="124841984"/>
      </c:barChart>
      <c:catAx>
        <c:axId val="12482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4841984"/>
        <c:crosses val="autoZero"/>
        <c:auto val="1"/>
        <c:lblAlgn val="ctr"/>
        <c:lblOffset val="100"/>
        <c:noMultiLvlLbl val="0"/>
      </c:catAx>
      <c:valAx>
        <c:axId val="124841984"/>
        <c:scaling>
          <c:orientation val="minMax"/>
          <c:max val="1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48279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>
                <a:latin typeface="Calibri"/>
                <a:cs typeface="Calibri"/>
              </a:rPr>
              <a:t>Ã Comparison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'Case 1 - 24 hour sampling'!$C$22</c:f>
              <c:strCache>
                <c:ptCount val="1"/>
                <c:pt idx="0">
                  <c:v>Mono -exp Ã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'Case 1 - 24 hour sampling'!$A$2:$C$2</c:f>
              <c:strCache>
                <c:ptCount val="1"/>
                <c:pt idx="0">
                  <c:v>Methods of Cumulative Activity (Ã) Estimation</c:v>
                </c:pt>
              </c:strCache>
            </c:strRef>
          </c:cat>
          <c:val>
            <c:numRef>
              <c:f>'Case 1 - 24 hour sampling'!$C$23</c:f>
              <c:numCache>
                <c:formatCode>General</c:formatCode>
                <c:ptCount val="1"/>
                <c:pt idx="0">
                  <c:v>237917.94389999998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EE-4892-B548-4241E21F5EED}"/>
            </c:ext>
          </c:extLst>
        </c:ser>
        <c:ser>
          <c:idx val="1"/>
          <c:order val="1"/>
          <c:tx>
            <c:strRef>
              <c:f>'Case 1 - 24 hour sampling'!$E$22</c:f>
              <c:strCache>
                <c:ptCount val="1"/>
                <c:pt idx="0">
                  <c:v>Bi-exp Ã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'Case 1 - 24 hour sampling'!$A$2:$C$2</c:f>
              <c:strCache>
                <c:ptCount val="1"/>
                <c:pt idx="0">
                  <c:v>Methods of Cumulative Activity (Ã) Estimation</c:v>
                </c:pt>
              </c:strCache>
            </c:strRef>
          </c:cat>
          <c:val>
            <c:numRef>
              <c:f>'Case 1 - 24 hour sampling'!$E$23</c:f>
              <c:numCache>
                <c:formatCode>General</c:formatCode>
                <c:ptCount val="1"/>
                <c:pt idx="0">
                  <c:v>126862.75363475301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EE-4892-B548-4241E21F5EED}"/>
            </c:ext>
          </c:extLst>
        </c:ser>
        <c:ser>
          <c:idx val="2"/>
          <c:order val="2"/>
          <c:tx>
            <c:strRef>
              <c:f>'Case 1 - 24 hour sampling'!$H$22</c:f>
              <c:strCache>
                <c:ptCount val="1"/>
                <c:pt idx="0">
                  <c:v>Trapezoid Ã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'Case 1 - 24 hour sampling'!$A$2:$C$2</c:f>
              <c:strCache>
                <c:ptCount val="1"/>
                <c:pt idx="0">
                  <c:v>Methods of Cumulative Activity (Ã) Estimation</c:v>
                </c:pt>
              </c:strCache>
            </c:strRef>
          </c:cat>
          <c:val>
            <c:numRef>
              <c:f>'Case 1 - 24 hour sampling'!$H$23</c:f>
              <c:numCache>
                <c:formatCode>General</c:formatCode>
                <c:ptCount val="1"/>
                <c:pt idx="0">
                  <c:v>192201.99925000002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EE-4892-B548-4241E21F5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719168"/>
        <c:axId val="115864320"/>
      </c:barChart>
      <c:catAx>
        <c:axId val="11571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15864320"/>
        <c:crosses val="autoZero"/>
        <c:auto val="1"/>
        <c:lblAlgn val="ctr"/>
        <c:lblOffset val="100"/>
        <c:noMultiLvlLbl val="0"/>
      </c:catAx>
      <c:valAx>
        <c:axId val="115864320"/>
        <c:scaling>
          <c:orientation val="minMax"/>
          <c:max val="20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Cumulative Activity (MBq.Hrs)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15719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 i="0" baseline="0">
                <a:effectLst/>
              </a:rPr>
              <a:t>All points vs Peak Removed (</a:t>
            </a:r>
            <a:r>
              <a:rPr lang="en-GB" sz="1800" b="1" i="0" baseline="0">
                <a:effectLst/>
                <a:latin typeface="Calibri"/>
                <a:cs typeface="Calibri"/>
              </a:rPr>
              <a:t>Ã</a:t>
            </a:r>
            <a:r>
              <a:rPr lang="en-GB" sz="1800" b="1" i="0" baseline="0">
                <a:effectLst/>
              </a:rPr>
              <a:t>, Bi fit)</a:t>
            </a:r>
            <a:endParaRPr lang="en-GB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'Case 4 - Fit Comparsions '!$B$33</c:f>
              <c:strCache>
                <c:ptCount val="1"/>
                <c:pt idx="0">
                  <c:v>Bi-exp Ã All Points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'Case 4 - Fit Comparsions '!$B$34</c:f>
              <c:numCache>
                <c:formatCode>0.00</c:formatCode>
                <c:ptCount val="1"/>
                <c:pt idx="0">
                  <c:v>165167.51883418934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26-4341-9A67-74BD0ACAC7AC}"/>
            </c:ext>
          </c:extLst>
        </c:ser>
        <c:ser>
          <c:idx val="1"/>
          <c:order val="1"/>
          <c:tx>
            <c:strRef>
              <c:f>'Case 4 - Fit Comparsions '!$D$33</c:f>
              <c:strCache>
                <c:ptCount val="1"/>
                <c:pt idx="0">
                  <c:v>Bi-exp Ã Peak Removed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C000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'Case 4 - Fit Comparsions '!$D$34</c:f>
              <c:numCache>
                <c:formatCode>0.00</c:formatCode>
                <c:ptCount val="1"/>
                <c:pt idx="0">
                  <c:v>176746.49368792443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26-4341-9A67-74BD0ACAC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868864"/>
        <c:axId val="124878848"/>
      </c:barChart>
      <c:catAx>
        <c:axId val="12486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4878848"/>
        <c:crosses val="autoZero"/>
        <c:auto val="1"/>
        <c:lblAlgn val="ctr"/>
        <c:lblOffset val="100"/>
        <c:noMultiLvlLbl val="0"/>
      </c:catAx>
      <c:valAx>
        <c:axId val="124878848"/>
        <c:scaling>
          <c:orientation val="minMax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4868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066209136309342"/>
          <c:y val="0.48148320966052088"/>
          <c:w val="0.29377452332077181"/>
          <c:h val="0.19753172828705057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Fitted</a:t>
            </a:r>
            <a:r>
              <a:rPr lang="en-GB" baseline="0"/>
              <a:t> Time - Activity Curves: Case 5 (Tracer)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'Case 5 - Isotope Change '!$A$9:$B$9</c:f>
              <c:strCache>
                <c:ptCount val="1"/>
                <c:pt idx="0">
                  <c:v>Raw A -T Data</c:v>
                </c:pt>
              </c:strCache>
            </c:strRef>
          </c:tx>
          <c:spPr>
            <a:ln w="25400">
              <a:solidFill>
                <a:schemeClr val="accent4">
                  <a:lumMod val="60000"/>
                  <a:lumOff val="40000"/>
                </a:schemeClr>
              </a:solidFill>
            </a:ln>
          </c:spPr>
          <c:xVal>
            <c:numRef>
              <c:f>'Case 5 - Isotope Change '!$A$11:$A$18</c:f>
              <c:numCache>
                <c:formatCode>0.0</c:formatCode>
                <c:ptCount val="8"/>
                <c:pt idx="0">
                  <c:v>0.16666666666666607</c:v>
                </c:pt>
                <c:pt idx="1">
                  <c:v>1.9999999999999996</c:v>
                </c:pt>
                <c:pt idx="2">
                  <c:v>4.0666666666666664</c:v>
                </c:pt>
                <c:pt idx="3">
                  <c:v>5.466666666666665</c:v>
                </c:pt>
                <c:pt idx="4">
                  <c:v>21.666666666666664</c:v>
                </c:pt>
                <c:pt idx="5">
                  <c:v>25.583333333333336</c:v>
                </c:pt>
                <c:pt idx="6">
                  <c:v>29.616666666666667</c:v>
                </c:pt>
                <c:pt idx="7">
                  <c:v>46.583333333333336</c:v>
                </c:pt>
              </c:numCache>
            </c:numRef>
          </c:xVal>
          <c:yVal>
            <c:numRef>
              <c:f>'Case 5 - Isotope Change '!$B$11:$B$18</c:f>
              <c:numCache>
                <c:formatCode>0.0</c:formatCode>
                <c:ptCount val="8"/>
                <c:pt idx="0">
                  <c:v>397.4792616911526</c:v>
                </c:pt>
                <c:pt idx="1">
                  <c:v>280.85942941012979</c:v>
                </c:pt>
                <c:pt idx="2">
                  <c:v>203.11287455611463</c:v>
                </c:pt>
                <c:pt idx="3">
                  <c:v>173.95791648585896</c:v>
                </c:pt>
                <c:pt idx="4">
                  <c:v>34.014117748631648</c:v>
                </c:pt>
                <c:pt idx="5">
                  <c:v>26.23946226323012</c:v>
                </c:pt>
                <c:pt idx="6">
                  <c:v>18.464806777828603</c:v>
                </c:pt>
                <c:pt idx="7">
                  <c:v>4.8591596783759483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6E9-491C-B0C1-513F36F21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464576"/>
        <c:axId val="129487232"/>
      </c:scatterChart>
      <c:scatterChart>
        <c:scatterStyle val="smoothMarker"/>
        <c:varyColors val="0"/>
        <c:ser>
          <c:idx val="1"/>
          <c:order val="1"/>
          <c:tx>
            <c:strRef>
              <c:f>'Case 5 - Isotope Change '!$C$9:$D$9</c:f>
              <c:strCache>
                <c:ptCount val="1"/>
                <c:pt idx="0">
                  <c:v>Mono-exponential fit curve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'Case 5 - Isotope Change '!$A$11:$A$18</c:f>
              <c:numCache>
                <c:formatCode>0.0</c:formatCode>
                <c:ptCount val="8"/>
                <c:pt idx="0">
                  <c:v>0.16666666666666607</c:v>
                </c:pt>
                <c:pt idx="1">
                  <c:v>1.9999999999999996</c:v>
                </c:pt>
                <c:pt idx="2">
                  <c:v>4.0666666666666664</c:v>
                </c:pt>
                <c:pt idx="3">
                  <c:v>5.466666666666665</c:v>
                </c:pt>
                <c:pt idx="4">
                  <c:v>21.666666666666664</c:v>
                </c:pt>
                <c:pt idx="5">
                  <c:v>25.583333333333336</c:v>
                </c:pt>
                <c:pt idx="6">
                  <c:v>29.616666666666667</c:v>
                </c:pt>
                <c:pt idx="7">
                  <c:v>46.583333333333336</c:v>
                </c:pt>
              </c:numCache>
            </c:numRef>
          </c:xVal>
          <c:yVal>
            <c:numRef>
              <c:f>'Case 5 - Isotope Change '!$C$11:$C$18</c:f>
              <c:numCache>
                <c:formatCode>0.0</c:formatCode>
                <c:ptCount val="8"/>
                <c:pt idx="0">
                  <c:v>397.4792616911526</c:v>
                </c:pt>
                <c:pt idx="1">
                  <c:v>331.49217800893763</c:v>
                </c:pt>
                <c:pt idx="2">
                  <c:v>270.14551554707867</c:v>
                </c:pt>
                <c:pt idx="3">
                  <c:v>235.17533073143125</c:v>
                </c:pt>
                <c:pt idx="4">
                  <c:v>47.284885846713699</c:v>
                </c:pt>
                <c:pt idx="5">
                  <c:v>32.084028611817786</c:v>
                </c:pt>
                <c:pt idx="6">
                  <c:v>21.519802360198131</c:v>
                </c:pt>
                <c:pt idx="7">
                  <c:v>4.010503576477225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6E9-491C-B0C1-513F36F21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464576"/>
        <c:axId val="129487232"/>
      </c:scatterChart>
      <c:valAx>
        <c:axId val="129464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After Administration (Hours)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9487232"/>
        <c:crosses val="autoZero"/>
        <c:crossBetween val="midCat"/>
      </c:valAx>
      <c:valAx>
        <c:axId val="1294872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Activity</a:t>
                </a:r>
                <a:r>
                  <a:rPr lang="en-GB" baseline="0"/>
                  <a:t> (MBq)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crossAx val="1294645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>
                <a:latin typeface="Calibri"/>
                <a:cs typeface="Calibri"/>
              </a:rPr>
              <a:t>Ã Comparison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'Case 5 - Isotope Change '!$C$23</c:f>
              <c:strCache>
                <c:ptCount val="1"/>
                <c:pt idx="0">
                  <c:v>Mono -exp Ã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'Case 5 - Isotope Change '!$A$2:$C$2</c:f>
              <c:strCache>
                <c:ptCount val="1"/>
                <c:pt idx="0">
                  <c:v>Methods of Cumulative Activity (Ã) Estimation</c:v>
                </c:pt>
              </c:strCache>
            </c:strRef>
          </c:cat>
          <c:val>
            <c:numRef>
              <c:f>'Case 5 - Isotope Change '!$C$24</c:f>
              <c:numCache>
                <c:formatCode>0.0</c:formatCode>
                <c:ptCount val="1"/>
                <c:pt idx="0">
                  <c:v>4014.9380223423327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4-4B51-8159-C60B05D1C861}"/>
            </c:ext>
          </c:extLst>
        </c:ser>
        <c:ser>
          <c:idx val="1"/>
          <c:order val="1"/>
          <c:tx>
            <c:strRef>
              <c:f>'Case 5 - Isotope Change'!#REF!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'Case 5 - Isotope Change '!$A$2:$C$2</c:f>
              <c:strCache>
                <c:ptCount val="1"/>
                <c:pt idx="0">
                  <c:v>Methods of Cumulative Activity (Ã) Estimation</c:v>
                </c:pt>
              </c:strCache>
            </c:strRef>
          </c:cat>
          <c:val>
            <c:numRef>
              <c:f>'Case 5 - Isotope Change'!#REF!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94-4B51-8159-C60B05D1C861}"/>
            </c:ext>
          </c:extLst>
        </c:ser>
        <c:ser>
          <c:idx val="2"/>
          <c:order val="2"/>
          <c:tx>
            <c:strRef>
              <c:f>'Case 5 - Isotope Change'!#REF!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'Case 5 - Isotope Change '!$A$2:$C$2</c:f>
              <c:strCache>
                <c:ptCount val="1"/>
                <c:pt idx="0">
                  <c:v>Methods of Cumulative Activity (Ã) Estimation</c:v>
                </c:pt>
              </c:strCache>
            </c:strRef>
          </c:cat>
          <c:val>
            <c:numRef>
              <c:f>'Case 5 - Isotope Change'!#REF!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94-4B51-8159-C60B05D1C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121664"/>
        <c:axId val="129123456"/>
      </c:barChart>
      <c:catAx>
        <c:axId val="12912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29123456"/>
        <c:crosses val="autoZero"/>
        <c:auto val="1"/>
        <c:lblAlgn val="ctr"/>
        <c:lblOffset val="100"/>
        <c:noMultiLvlLbl val="0"/>
      </c:catAx>
      <c:valAx>
        <c:axId val="12912345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Cumulative Activity (MBq.Hrs)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crossAx val="129121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All</a:t>
            </a:r>
            <a:r>
              <a:rPr lang="en-GB" baseline="0"/>
              <a:t> points vs 24 hour interval (Teff, Mono fit)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'Case 1 - Fit Comparsions'!$C$5</c:f>
              <c:strCache>
                <c:ptCount val="1"/>
                <c:pt idx="0">
                  <c:v>Teff (hours) : All Points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'Case 1 - Fit Comparsions'!$C$6</c:f>
              <c:numCache>
                <c:formatCode>0.00</c:formatCode>
                <c:ptCount val="1"/>
                <c:pt idx="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30-4941-8CD8-339EA4FE97A2}"/>
            </c:ext>
          </c:extLst>
        </c:ser>
        <c:ser>
          <c:idx val="1"/>
          <c:order val="1"/>
          <c:tx>
            <c:strRef>
              <c:f>'Case 1 - Fit Comparsions'!$F$5</c:f>
              <c:strCache>
                <c:ptCount val="1"/>
                <c:pt idx="0">
                  <c:v>Teff (hours): 24 hour interval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'Case 1 - Fit Comparsions'!$F$6</c:f>
              <c:numCache>
                <c:formatCode>0.00</c:formatCode>
                <c:ptCount val="1"/>
                <c:pt idx="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30-4941-8CD8-339EA4FE9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925376"/>
        <c:axId val="115926912"/>
      </c:barChart>
      <c:catAx>
        <c:axId val="11592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5926912"/>
        <c:crosses val="autoZero"/>
        <c:auto val="1"/>
        <c:lblAlgn val="ctr"/>
        <c:lblOffset val="100"/>
        <c:noMultiLvlLbl val="0"/>
      </c:catAx>
      <c:valAx>
        <c:axId val="115926912"/>
        <c:scaling>
          <c:orientation val="minMax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59253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3744075829383895"/>
          <c:y val="0.48327137546468407"/>
          <c:w val="0.34123222748815163"/>
          <c:h val="0.2973977695167285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All points vs 24 hour interval (Teff, Mono fit)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'Case 1 - Fit Comparsions'!$C$10</c:f>
              <c:strCache>
                <c:ptCount val="1"/>
                <c:pt idx="0">
                  <c:v>Mono -exp Ã : All Points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'Case 1 - Fit Comparsions'!$C$11</c:f>
              <c:numCache>
                <c:formatCode>0.00</c:formatCode>
                <c:ptCount val="1"/>
                <c:pt idx="0">
                  <c:v>237917.94389999998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E0-4E7C-8B2C-113A1187EDDE}"/>
            </c:ext>
          </c:extLst>
        </c:ser>
        <c:ser>
          <c:idx val="1"/>
          <c:order val="1"/>
          <c:tx>
            <c:strRef>
              <c:f>'Case 1 - Fit Comparsions'!$F$10</c:f>
              <c:strCache>
                <c:ptCount val="1"/>
                <c:pt idx="0">
                  <c:v>Mono -exp Ã : 24 hour sampling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'Case 1 - Fit Comparsions'!$F$11</c:f>
              <c:numCache>
                <c:formatCode>0.00</c:formatCode>
                <c:ptCount val="1"/>
                <c:pt idx="0">
                  <c:v>237917.94389999998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E0-4E7C-8B2C-113A1187E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408128"/>
        <c:axId val="117409664"/>
      </c:barChart>
      <c:catAx>
        <c:axId val="11740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7409664"/>
        <c:crosses val="autoZero"/>
        <c:auto val="1"/>
        <c:lblAlgn val="ctr"/>
        <c:lblOffset val="100"/>
        <c:noMultiLvlLbl val="0"/>
      </c:catAx>
      <c:valAx>
        <c:axId val="117409664"/>
        <c:scaling>
          <c:orientation val="minMax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74081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 i="0" baseline="0">
                <a:effectLst/>
              </a:rPr>
              <a:t>All points vs 24 hour interval (Teff1, Bi fit)</a:t>
            </a:r>
            <a:endParaRPr lang="en-GB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'Case 1 - Fit Comparsions'!$C$5</c:f>
              <c:strCache>
                <c:ptCount val="1"/>
                <c:pt idx="0">
                  <c:v>Teff (hours) : All Points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54F9-45A9-9D76-23CE70DFF91B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'Case 1 - Fit Comparsions'!$C$23</c:f>
              <c:numCache>
                <c:formatCode>0.00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F9-45A9-9D76-23CE70DFF91B}"/>
            </c:ext>
          </c:extLst>
        </c:ser>
        <c:ser>
          <c:idx val="1"/>
          <c:order val="1"/>
          <c:tx>
            <c:strRef>
              <c:f>'Case 1 - Fit Comparsions'!$F$5</c:f>
              <c:strCache>
                <c:ptCount val="1"/>
                <c:pt idx="0">
                  <c:v>Teff (hours): 24 hour interval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accent6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'Case 1 - Fit Comparsions'!$C$27</c:f>
              <c:numCache>
                <c:formatCode>0.00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F9-45A9-9D76-23CE70DFF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025280"/>
        <c:axId val="121026816"/>
      </c:barChart>
      <c:catAx>
        <c:axId val="12102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1026816"/>
        <c:crosses val="autoZero"/>
        <c:auto val="1"/>
        <c:lblAlgn val="ctr"/>
        <c:lblOffset val="100"/>
        <c:noMultiLvlLbl val="0"/>
      </c:catAx>
      <c:valAx>
        <c:axId val="121026816"/>
        <c:scaling>
          <c:orientation val="minMax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10252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 i="0" baseline="0">
                <a:effectLst/>
              </a:rPr>
              <a:t>All points vs 24 hour interval (Teff2, Bi fit)</a:t>
            </a:r>
            <a:endParaRPr lang="en-GB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'Case 1 - Fit Comparsions'!$C$5</c:f>
              <c:strCache>
                <c:ptCount val="1"/>
                <c:pt idx="0">
                  <c:v>Teff (hours) : All Points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'Case 1 - Fit Comparsions'!$D$23</c:f>
              <c:numCache>
                <c:formatCode>0.00</c:formatCode>
                <c:ptCount val="1"/>
                <c:pt idx="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A1-4FDF-928D-827B8FEBEFE0}"/>
            </c:ext>
          </c:extLst>
        </c:ser>
        <c:ser>
          <c:idx val="1"/>
          <c:order val="1"/>
          <c:tx>
            <c:strRef>
              <c:f>'Case 1 - Fit Comparsions'!$F$5</c:f>
              <c:strCache>
                <c:ptCount val="1"/>
                <c:pt idx="0">
                  <c:v>Teff (hours): 24 hour interval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accent6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'Case 1 - Fit Comparsions'!$D$27</c:f>
              <c:numCache>
                <c:formatCode>0.00</c:formatCode>
                <c:ptCount val="1"/>
                <c:pt idx="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A1-4FDF-928D-827B8FEBE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463552"/>
        <c:axId val="121465088"/>
      </c:barChart>
      <c:catAx>
        <c:axId val="12146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1465088"/>
        <c:crosses val="autoZero"/>
        <c:auto val="1"/>
        <c:lblAlgn val="ctr"/>
        <c:lblOffset val="100"/>
        <c:noMultiLvlLbl val="0"/>
      </c:catAx>
      <c:valAx>
        <c:axId val="121465088"/>
        <c:scaling>
          <c:orientation val="minMax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14635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 i="0" baseline="0">
                <a:effectLst/>
              </a:rPr>
              <a:t>All points vs 24 hour interval (f, Bi fit)</a:t>
            </a:r>
            <a:endParaRPr lang="en-GB">
              <a:effectLst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'Case 1 - Fit Comparsions'!$E$22</c:f>
              <c:strCache>
                <c:ptCount val="1"/>
                <c:pt idx="0">
                  <c:v>f All Points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'Case 1 - Fit Comparsions'!$E$23</c:f>
              <c:numCache>
                <c:formatCode>0.00</c:formatCode>
                <c:ptCount val="1"/>
                <c:pt idx="0">
                  <c:v>0.58704419308281419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68-4468-87B0-AB8EA6003D4A}"/>
            </c:ext>
          </c:extLst>
        </c:ser>
        <c:ser>
          <c:idx val="1"/>
          <c:order val="1"/>
          <c:tx>
            <c:strRef>
              <c:f>'Case 1 - Fit Comparsions'!$E$26</c:f>
              <c:strCache>
                <c:ptCount val="1"/>
                <c:pt idx="0">
                  <c:v>f 24 hour interval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accent6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'Case 1 - Fit Comparsions'!$E$27</c:f>
              <c:numCache>
                <c:formatCode>0.00</c:formatCode>
                <c:ptCount val="1"/>
                <c:pt idx="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68-4468-87B0-AB8EA6003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360576"/>
        <c:axId val="122362112"/>
      </c:barChart>
      <c:catAx>
        <c:axId val="12236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2362112"/>
        <c:crosses val="autoZero"/>
        <c:auto val="1"/>
        <c:lblAlgn val="ctr"/>
        <c:lblOffset val="100"/>
        <c:noMultiLvlLbl val="0"/>
      </c:catAx>
      <c:valAx>
        <c:axId val="122362112"/>
        <c:scaling>
          <c:orientation val="minMax"/>
          <c:max val="1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23605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6" Type="http://schemas.openxmlformats.org/officeDocument/2006/relationships/chart" Target="../charts/chart40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514350</xdr:colOff>
      <xdr:row>1</xdr:row>
      <xdr:rowOff>171450</xdr:rowOff>
    </xdr:from>
    <xdr:to>
      <xdr:col>21</xdr:col>
      <xdr:colOff>209550</xdr:colOff>
      <xdr:row>14</xdr:row>
      <xdr:rowOff>171450</xdr:rowOff>
    </xdr:to>
    <xdr:graphicFrame macro="">
      <xdr:nvGraphicFramePr>
        <xdr:cNvPr id="2049" name="Chart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428625</xdr:colOff>
      <xdr:row>17</xdr:row>
      <xdr:rowOff>114300</xdr:rowOff>
    </xdr:from>
    <xdr:to>
      <xdr:col>19</xdr:col>
      <xdr:colOff>485775</xdr:colOff>
      <xdr:row>36</xdr:row>
      <xdr:rowOff>114300</xdr:rowOff>
    </xdr:to>
    <xdr:graphicFrame macro="">
      <xdr:nvGraphicFramePr>
        <xdr:cNvPr id="2050" name="Chart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571500</xdr:colOff>
      <xdr:row>7</xdr:row>
      <xdr:rowOff>19050</xdr:rowOff>
    </xdr:from>
    <xdr:to>
      <xdr:col>3</xdr:col>
      <xdr:colOff>856543</xdr:colOff>
      <xdr:row>7</xdr:row>
      <xdr:rowOff>285470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29">
              <a:extLst>
                <a:ext uri="{FF2B5EF4-FFF2-40B4-BE49-F238E27FC236}">
                  <a16:creationId xmlns:a16="http://schemas.microsoft.com/office/drawing/2014/main" id="{3E78AF57-8FA7-E6E8-DDA6-199CF7E6BC46}"/>
                </a:ext>
              </a:extLst>
            </xdr:cNvPr>
            <xdr:cNvSpPr txBox="1"/>
          </xdr:nvSpPr>
          <xdr:spPr>
            <a:xfrm>
              <a:off x="2028825" y="1428750"/>
              <a:ext cx="1647118" cy="266420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GB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i="1" kern="1200">
                  <a:solidFill>
                    <a:schemeClr val="tx1"/>
                  </a:solidFill>
                  <a:latin typeface="Georgia" pitchFamily="18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i="1" kern="1200">
                  <a:solidFill>
                    <a:schemeClr val="tx1"/>
                  </a:solidFill>
                  <a:latin typeface="Georgia" pitchFamily="18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i="1" kern="1200">
                  <a:solidFill>
                    <a:schemeClr val="tx1"/>
                  </a:solidFill>
                  <a:latin typeface="Georgia" pitchFamily="18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i="1" kern="1200">
                  <a:solidFill>
                    <a:schemeClr val="tx1"/>
                  </a:solidFill>
                  <a:latin typeface="Georgia" pitchFamily="18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i="1" kern="1200">
                  <a:solidFill>
                    <a:schemeClr val="tx1"/>
                  </a:solidFill>
                  <a:latin typeface="Georgia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i="1" kern="1200">
                  <a:solidFill>
                    <a:schemeClr val="tx1"/>
                  </a:solidFill>
                  <a:latin typeface="Georgia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i="1" kern="1200">
                  <a:solidFill>
                    <a:schemeClr val="tx1"/>
                  </a:solidFill>
                  <a:latin typeface="Georgia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i="1" kern="1200">
                  <a:solidFill>
                    <a:schemeClr val="tx1"/>
                  </a:solidFill>
                  <a:latin typeface="Georgia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i="1" kern="1200">
                  <a:solidFill>
                    <a:schemeClr val="tx1"/>
                  </a:solidFill>
                  <a:latin typeface="Georgia" pitchFamily="18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GB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GB" b="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</a:rPr>
                          <m:t>𝐴</m:t>
                        </m:r>
                      </m:e>
                      <m:sub>
                        <m:r>
                          <a:rPr lang="en-GB" b="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GB" b="0" i="1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GB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GB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</a:rPr>
                          <m:t>𝐴</m:t>
                        </m:r>
                      </m:e>
                      <m:sub>
                        <m:r>
                          <a:rPr lang="en-GB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sSup>
                      <m:sSupPr>
                        <m:ctrlPr>
                          <a:rPr lang="en-GB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GB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</a:rPr>
                          <m:t>𝑒</m:t>
                        </m:r>
                      </m:e>
                      <m:sup>
                        <m:r>
                          <a:rPr lang="en-GB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</a:rPr>
                          <m:t>−</m:t>
                        </m:r>
                        <m:f>
                          <m:fPr>
                            <m:ctrlPr>
                              <a:rPr lang="en-GB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GB" b="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</a:rPr>
                              <m:t>𝑙𝑛</m:t>
                            </m:r>
                            <m:d>
                              <m:dPr>
                                <m:ctrlPr>
                                  <a:rPr lang="en-GB" b="0" i="1">
                                    <a:solidFill>
                                      <a:sysClr val="windowText" lastClr="00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GB" b="0" i="1">
                                    <a:solidFill>
                                      <a:sysClr val="windowText" lastClr="000000"/>
                                    </a:solidFill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e>
                            </m:d>
                            <m:r>
                              <a:rPr lang="en-GB" b="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∙</m:t>
                            </m:r>
                            <m:r>
                              <a:rPr lang="en-GB" b="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𝑡</m:t>
                            </m:r>
                          </m:num>
                          <m:den>
                            <m:r>
                              <a:rPr lang="en-GB" b="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𝜏</m:t>
                            </m:r>
                          </m:den>
                        </m:f>
                      </m:sup>
                    </m:sSup>
                  </m:oMath>
                </m:oMathPara>
              </a14:m>
              <a:endParaRPr lang="en-GB">
                <a:solidFill>
                  <a:sysClr val="windowText" lastClr="000000"/>
                </a:solidFill>
              </a:endParaRPr>
            </a:p>
          </xdr:txBody>
        </xdr:sp>
      </mc:Choice>
      <mc:Fallback>
        <xdr:sp macro="" textlink="">
          <xdr:nvSpPr>
            <xdr:cNvPr id="2" name="TextBox 29">
              <a:extLst>
                <a:ext uri="{FF2B5EF4-FFF2-40B4-BE49-F238E27FC236}">
                  <a16:creationId xmlns:a16="http://schemas.microsoft.com/office/drawing/2014/main" id="{3E78AF57-8FA7-E6E8-DDA6-199CF7E6BC46}"/>
                </a:ext>
              </a:extLst>
            </xdr:cNvPr>
            <xdr:cNvSpPr txBox="1"/>
          </xdr:nvSpPr>
          <xdr:spPr>
            <a:xfrm>
              <a:off x="2028825" y="1428750"/>
              <a:ext cx="1647118" cy="266420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GB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i="1" kern="1200">
                  <a:solidFill>
                    <a:schemeClr val="tx1"/>
                  </a:solidFill>
                  <a:latin typeface="Georgia" pitchFamily="18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i="1" kern="1200">
                  <a:solidFill>
                    <a:schemeClr val="tx1"/>
                  </a:solidFill>
                  <a:latin typeface="Georgia" pitchFamily="18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i="1" kern="1200">
                  <a:solidFill>
                    <a:schemeClr val="tx1"/>
                  </a:solidFill>
                  <a:latin typeface="Georgia" pitchFamily="18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i="1" kern="1200">
                  <a:solidFill>
                    <a:schemeClr val="tx1"/>
                  </a:solidFill>
                  <a:latin typeface="Georgia" pitchFamily="18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i="1" kern="1200">
                  <a:solidFill>
                    <a:schemeClr val="tx1"/>
                  </a:solidFill>
                  <a:latin typeface="Georgia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i="1" kern="1200">
                  <a:solidFill>
                    <a:schemeClr val="tx1"/>
                  </a:solidFill>
                  <a:latin typeface="Georgia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i="1" kern="1200">
                  <a:solidFill>
                    <a:schemeClr val="tx1"/>
                  </a:solidFill>
                  <a:latin typeface="Georgia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i="1" kern="1200">
                  <a:solidFill>
                    <a:schemeClr val="tx1"/>
                  </a:solidFill>
                  <a:latin typeface="Georgia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i="1" kern="1200">
                  <a:solidFill>
                    <a:schemeClr val="tx1"/>
                  </a:solidFill>
                  <a:latin typeface="Georgia" pitchFamily="18" charset="0"/>
                  <a:ea typeface="+mn-ea"/>
                  <a:cs typeface="+mn-cs"/>
                </a:defRPr>
              </a:lvl9pPr>
            </a:lstStyle>
            <a:p>
              <a:pPr/>
              <a:r>
                <a:rPr lang="en-GB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𝐴_𝑡=</a:t>
              </a:r>
              <a:r>
                <a:rPr lang="en-GB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𝐴_0 𝑒^(−(</a:t>
              </a:r>
              <a:r>
                <a:rPr lang="en-GB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𝑙𝑛(2)</a:t>
              </a:r>
              <a:r>
                <a:rPr lang="en-GB" b="0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∙𝑡)/𝜏)</a:t>
              </a:r>
              <a:endParaRPr lang="en-GB">
                <a:solidFill>
                  <a:sysClr val="windowText" lastClr="000000"/>
                </a:solidFill>
              </a:endParaRPr>
            </a:p>
          </xdr:txBody>
        </xdr:sp>
      </mc:Fallback>
    </mc:AlternateContent>
    <xdr:clientData/>
  </xdr:twoCellAnchor>
  <xdr:twoCellAnchor>
    <xdr:from>
      <xdr:col>3</xdr:col>
      <xdr:colOff>866775</xdr:colOff>
      <xdr:row>7</xdr:row>
      <xdr:rowOff>66675</xdr:rowOff>
    </xdr:from>
    <xdr:to>
      <xdr:col>6</xdr:col>
      <xdr:colOff>546067</xdr:colOff>
      <xdr:row>8</xdr:row>
      <xdr:rowOff>144931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5">
              <a:extLst>
                <a:ext uri="{FF2B5EF4-FFF2-40B4-BE49-F238E27FC236}">
                  <a16:creationId xmlns:a16="http://schemas.microsoft.com/office/drawing/2014/main" id="{5FD65FE0-072D-94A1-D44E-BD851E621BD3}"/>
                </a:ext>
              </a:extLst>
            </xdr:cNvPr>
            <xdr:cNvSpPr txBox="1"/>
          </xdr:nvSpPr>
          <xdr:spPr>
            <a:xfrm>
              <a:off x="3686175" y="1476375"/>
              <a:ext cx="4251292" cy="468781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GB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i="1" kern="1200">
                  <a:solidFill>
                    <a:schemeClr val="tx1"/>
                  </a:solidFill>
                  <a:latin typeface="Georgia" pitchFamily="18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i="1" kern="1200">
                  <a:solidFill>
                    <a:schemeClr val="tx1"/>
                  </a:solidFill>
                  <a:latin typeface="Georgia" pitchFamily="18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i="1" kern="1200">
                  <a:solidFill>
                    <a:schemeClr val="tx1"/>
                  </a:solidFill>
                  <a:latin typeface="Georgia" pitchFamily="18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i="1" kern="1200">
                  <a:solidFill>
                    <a:schemeClr val="tx1"/>
                  </a:solidFill>
                  <a:latin typeface="Georgia" pitchFamily="18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i="1" kern="1200">
                  <a:solidFill>
                    <a:schemeClr val="tx1"/>
                  </a:solidFill>
                  <a:latin typeface="Georgia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i="1" kern="1200">
                  <a:solidFill>
                    <a:schemeClr val="tx1"/>
                  </a:solidFill>
                  <a:latin typeface="Georgia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i="1" kern="1200">
                  <a:solidFill>
                    <a:schemeClr val="tx1"/>
                  </a:solidFill>
                  <a:latin typeface="Georgia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i="1" kern="1200">
                  <a:solidFill>
                    <a:schemeClr val="tx1"/>
                  </a:solidFill>
                  <a:latin typeface="Georgia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i="1" kern="1200">
                  <a:solidFill>
                    <a:schemeClr val="tx1"/>
                  </a:solidFill>
                  <a:latin typeface="Georgia" pitchFamily="18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GB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GB" b="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</a:rPr>
                          <m:t>𝐴</m:t>
                        </m:r>
                      </m:e>
                      <m:sub>
                        <m:r>
                          <a:rPr lang="en-GB" b="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GB" b="0" i="1">
                        <a:solidFill>
                          <a:sysClr val="windowText" lastClr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GB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GB" b="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</a:rPr>
                          <m:t>𝑓</m:t>
                        </m:r>
                        <m:r>
                          <a:rPr lang="en-GB" b="0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∙</m:t>
                        </m:r>
                        <m:sSup>
                          <m:sSupPr>
                            <m:ctrlPr>
                              <a:rPr lang="en-GB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GB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</a:rPr>
                              <m:t>𝑒</m:t>
                            </m:r>
                          </m:e>
                          <m:sup>
                            <m:r>
                              <a:rPr lang="en-GB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</a:rPr>
                              <m:t>−</m:t>
                            </m:r>
                            <m:f>
                              <m:fPr>
                                <m:ctrlPr>
                                  <a:rPr lang="en-GB" i="1">
                                    <a:solidFill>
                                      <a:sysClr val="windowText" lastClr="00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n-GB">
                                    <a:solidFill>
                                      <a:sysClr val="windowText" lastClr="000000"/>
                                    </a:solidFill>
                                    <a:latin typeface="Cambria Math" panose="02040503050406030204" pitchFamily="18" charset="0"/>
                                  </a:rPr>
                                  <m:t>𝑙𝑛</m:t>
                                </m:r>
                                <m:d>
                                  <m:dPr>
                                    <m:ctrlPr>
                                      <a:rPr lang="en-GB" i="1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r>
                                      <a:rPr lang="en-GB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2</m:t>
                                    </m:r>
                                  </m:e>
                                </m:d>
                                <m:r>
                                  <a:rPr lang="en-GB">
                                    <a:solidFill>
                                      <a:sysClr val="windowText" lastClr="00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∙</m:t>
                                </m:r>
                                <m:r>
                                  <a:rPr lang="en-GB">
                                    <a:solidFill>
                                      <a:sysClr val="windowText" lastClr="00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𝑡</m:t>
                                </m:r>
                              </m:num>
                              <m:den>
                                <m:sSub>
                                  <m:sSubPr>
                                    <m:ctrlPr>
                                      <a:rPr lang="en-GB" i="1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GB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𝜏</m:t>
                                    </m:r>
                                  </m:e>
                                  <m:sub>
                                    <m:r>
                                      <a:rPr lang="en-GB" b="0" i="1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1</m:t>
                                    </m:r>
                                  </m:sub>
                                </m:sSub>
                              </m:den>
                            </m:f>
                          </m:sup>
                        </m:sSup>
                        <m:r>
                          <a:rPr lang="en-GB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+</m:t>
                        </m:r>
                        <m:d>
                          <m:dPr>
                            <m:ctrlPr>
                              <a:rPr lang="en-GB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GB" b="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1−</m:t>
                            </m:r>
                            <m:r>
                              <a:rPr lang="en-GB" b="0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𝑓</m:t>
                            </m:r>
                          </m:e>
                        </m:d>
                        <m:r>
                          <a:rPr lang="en-GB" i="1">
                            <a:solidFill>
                              <a:sysClr val="windowText" lastClr="00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∙</m:t>
                        </m:r>
                        <m:sSup>
                          <m:sSupPr>
                            <m:ctrlPr>
                              <a:rPr lang="en-GB" i="1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GB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</a:rPr>
                              <m:t>𝑒</m:t>
                            </m:r>
                          </m:e>
                          <m:sup>
                            <m:r>
                              <a:rPr lang="en-GB">
                                <a:solidFill>
                                  <a:sysClr val="windowText" lastClr="000000"/>
                                </a:solidFill>
                                <a:latin typeface="Cambria Math" panose="02040503050406030204" pitchFamily="18" charset="0"/>
                              </a:rPr>
                              <m:t>−</m:t>
                            </m:r>
                            <m:f>
                              <m:fPr>
                                <m:ctrlPr>
                                  <a:rPr lang="en-GB" i="1">
                                    <a:solidFill>
                                      <a:sysClr val="windowText" lastClr="00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n-GB">
                                    <a:solidFill>
                                      <a:sysClr val="windowText" lastClr="000000"/>
                                    </a:solidFill>
                                    <a:latin typeface="Cambria Math" panose="02040503050406030204" pitchFamily="18" charset="0"/>
                                  </a:rPr>
                                  <m:t>𝑙𝑛</m:t>
                                </m:r>
                                <m:d>
                                  <m:dPr>
                                    <m:ctrlPr>
                                      <a:rPr lang="en-GB" i="1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r>
                                      <a:rPr lang="en-GB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2</m:t>
                                    </m:r>
                                  </m:e>
                                </m:d>
                                <m:r>
                                  <a:rPr lang="en-GB">
                                    <a:solidFill>
                                      <a:sysClr val="windowText" lastClr="00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∙</m:t>
                                </m:r>
                                <m:r>
                                  <a:rPr lang="en-GB">
                                    <a:solidFill>
                                      <a:sysClr val="windowText" lastClr="00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𝑡</m:t>
                                </m:r>
                              </m:num>
                              <m:den>
                                <m:sSub>
                                  <m:sSubPr>
                                    <m:ctrlPr>
                                      <a:rPr lang="en-GB" i="1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GB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𝜏</m:t>
                                    </m:r>
                                  </m:e>
                                  <m:sub>
                                    <m:r>
                                      <a:rPr lang="en-GB" b="0" i="1">
                                        <a:solidFill>
                                          <a:sysClr val="windowText" lastClr="000000"/>
                                        </a:solidFill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2</m:t>
                                    </m:r>
                                  </m:sub>
                                </m:sSub>
                              </m:den>
                            </m:f>
                          </m:sup>
                        </m:sSup>
                      </m:e>
                    </m:d>
                  </m:oMath>
                </m:oMathPara>
              </a14:m>
              <a:br>
                <a:rPr lang="en-GB" b="0">
                  <a:solidFill>
                    <a:sysClr val="windowText" lastClr="000000"/>
                  </a:solidFill>
                </a:rPr>
              </a:br>
              <a:endParaRPr lang="en-GB">
                <a:solidFill>
                  <a:sysClr val="windowText" lastClr="000000"/>
                </a:solidFill>
              </a:endParaRPr>
            </a:p>
          </xdr:txBody>
        </xdr:sp>
      </mc:Choice>
      <mc:Fallback>
        <xdr:sp macro="" textlink="">
          <xdr:nvSpPr>
            <xdr:cNvPr id="3" name="TextBox 25">
              <a:extLst>
                <a:ext uri="{FF2B5EF4-FFF2-40B4-BE49-F238E27FC236}">
                  <a16:creationId xmlns:a16="http://schemas.microsoft.com/office/drawing/2014/main" id="{5FD65FE0-072D-94A1-D44E-BD851E621BD3}"/>
                </a:ext>
              </a:extLst>
            </xdr:cNvPr>
            <xdr:cNvSpPr txBox="1"/>
          </xdr:nvSpPr>
          <xdr:spPr>
            <a:xfrm>
              <a:off x="3686175" y="1476375"/>
              <a:ext cx="4251292" cy="468781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GB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i="1" kern="1200">
                  <a:solidFill>
                    <a:schemeClr val="tx1"/>
                  </a:solidFill>
                  <a:latin typeface="Georgia" pitchFamily="18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i="1" kern="1200">
                  <a:solidFill>
                    <a:schemeClr val="tx1"/>
                  </a:solidFill>
                  <a:latin typeface="Georgia" pitchFamily="18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i="1" kern="1200">
                  <a:solidFill>
                    <a:schemeClr val="tx1"/>
                  </a:solidFill>
                  <a:latin typeface="Georgia" pitchFamily="18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i="1" kern="1200">
                  <a:solidFill>
                    <a:schemeClr val="tx1"/>
                  </a:solidFill>
                  <a:latin typeface="Georgia" pitchFamily="18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i="1" kern="1200">
                  <a:solidFill>
                    <a:schemeClr val="tx1"/>
                  </a:solidFill>
                  <a:latin typeface="Georgia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i="1" kern="1200">
                  <a:solidFill>
                    <a:schemeClr val="tx1"/>
                  </a:solidFill>
                  <a:latin typeface="Georgia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i="1" kern="1200">
                  <a:solidFill>
                    <a:schemeClr val="tx1"/>
                  </a:solidFill>
                  <a:latin typeface="Georgia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i="1" kern="1200">
                  <a:solidFill>
                    <a:schemeClr val="tx1"/>
                  </a:solidFill>
                  <a:latin typeface="Georgia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i="1" kern="1200">
                  <a:solidFill>
                    <a:schemeClr val="tx1"/>
                  </a:solidFill>
                  <a:latin typeface="Georgia" pitchFamily="18" charset="0"/>
                  <a:ea typeface="+mn-ea"/>
                  <a:cs typeface="+mn-cs"/>
                </a:defRPr>
              </a:lvl9pPr>
            </a:lstStyle>
            <a:p>
              <a:pPr/>
              <a:r>
                <a:rPr lang="en-GB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𝐴_𝑡=</a:t>
              </a:r>
              <a:r>
                <a:rPr lang="en-GB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(</a:t>
              </a:r>
              <a:r>
                <a:rPr lang="en-GB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𝑓</a:t>
              </a:r>
              <a:r>
                <a:rPr lang="en-GB" b="0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en-GB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𝑒^(−(𝑙𝑛(2)</a:t>
              </a:r>
              <a:r>
                <a:rPr lang="en-GB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∙𝑡)/𝜏_</a:t>
              </a:r>
              <a:r>
                <a:rPr lang="en-GB" b="0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1 )</a:t>
              </a:r>
              <a:r>
                <a:rPr lang="en-GB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+(</a:t>
              </a:r>
              <a:r>
                <a:rPr lang="en-GB" b="0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1−𝑓)</a:t>
              </a:r>
              <a:r>
                <a:rPr lang="en-GB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en-GB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𝑒^(−(𝑙𝑛(2)</a:t>
              </a:r>
              <a:r>
                <a:rPr lang="en-GB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∙𝑡)/𝜏_</a:t>
              </a:r>
              <a:r>
                <a:rPr lang="en-GB" b="0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2 ) )</a:t>
              </a:r>
              <a:br>
                <a:rPr lang="en-GB" b="0">
                  <a:solidFill>
                    <a:sysClr val="windowText" lastClr="000000"/>
                  </a:solidFill>
                </a:rPr>
              </a:br>
              <a:endParaRPr lang="en-GB">
                <a:solidFill>
                  <a:sysClr val="windowText" lastClr="000000"/>
                </a:solidFill>
              </a:endParaRPr>
            </a:p>
          </xdr:txBody>
        </xdr:sp>
      </mc:Fallback>
    </mc:AlternateContent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514350</xdr:colOff>
      <xdr:row>1</xdr:row>
      <xdr:rowOff>171450</xdr:rowOff>
    </xdr:from>
    <xdr:to>
      <xdr:col>19</xdr:col>
      <xdr:colOff>552450</xdr:colOff>
      <xdr:row>16</xdr:row>
      <xdr:rowOff>133350</xdr:rowOff>
    </xdr:to>
    <xdr:graphicFrame macro="">
      <xdr:nvGraphicFramePr>
        <xdr:cNvPr id="41985" name="Chart 1">
          <a:extLst>
            <a:ext uri="{FF2B5EF4-FFF2-40B4-BE49-F238E27FC236}">
              <a16:creationId xmlns:a16="http://schemas.microsoft.com/office/drawing/2014/main" id="{00000000-0008-0000-0900-000001A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428625</xdr:colOff>
      <xdr:row>17</xdr:row>
      <xdr:rowOff>114300</xdr:rowOff>
    </xdr:from>
    <xdr:to>
      <xdr:col>19</xdr:col>
      <xdr:colOff>485775</xdr:colOff>
      <xdr:row>36</xdr:row>
      <xdr:rowOff>114300</xdr:rowOff>
    </xdr:to>
    <xdr:graphicFrame macro="">
      <xdr:nvGraphicFramePr>
        <xdr:cNvPr id="41986" name="Chart 2">
          <a:extLst>
            <a:ext uri="{FF2B5EF4-FFF2-40B4-BE49-F238E27FC236}">
              <a16:creationId xmlns:a16="http://schemas.microsoft.com/office/drawing/2014/main" id="{00000000-0008-0000-0900-000002A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514350</xdr:colOff>
      <xdr:row>1</xdr:row>
      <xdr:rowOff>171450</xdr:rowOff>
    </xdr:from>
    <xdr:to>
      <xdr:col>19</xdr:col>
      <xdr:colOff>552450</xdr:colOff>
      <xdr:row>14</xdr:row>
      <xdr:rowOff>171450</xdr:rowOff>
    </xdr:to>
    <xdr:graphicFrame macro="">
      <xdr:nvGraphicFramePr>
        <xdr:cNvPr id="45057" name="Chart 1">
          <a:extLst>
            <a:ext uri="{FF2B5EF4-FFF2-40B4-BE49-F238E27FC236}">
              <a16:creationId xmlns:a16="http://schemas.microsoft.com/office/drawing/2014/main" id="{00000000-0008-0000-0A00-000001B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428625</xdr:colOff>
      <xdr:row>17</xdr:row>
      <xdr:rowOff>114300</xdr:rowOff>
    </xdr:from>
    <xdr:to>
      <xdr:col>19</xdr:col>
      <xdr:colOff>485775</xdr:colOff>
      <xdr:row>36</xdr:row>
      <xdr:rowOff>114300</xdr:rowOff>
    </xdr:to>
    <xdr:graphicFrame macro="">
      <xdr:nvGraphicFramePr>
        <xdr:cNvPr id="45058" name="Chart 2">
          <a:extLst>
            <a:ext uri="{FF2B5EF4-FFF2-40B4-BE49-F238E27FC236}">
              <a16:creationId xmlns:a16="http://schemas.microsoft.com/office/drawing/2014/main" id="{00000000-0008-0000-0A00-000002B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1</xdr:row>
      <xdr:rowOff>161925</xdr:rowOff>
    </xdr:from>
    <xdr:to>
      <xdr:col>13</xdr:col>
      <xdr:colOff>200025</xdr:colOff>
      <xdr:row>15</xdr:row>
      <xdr:rowOff>19050</xdr:rowOff>
    </xdr:to>
    <xdr:graphicFrame macro="">
      <xdr:nvGraphicFramePr>
        <xdr:cNvPr id="48129" name="Chart 1">
          <a:extLst>
            <a:ext uri="{FF2B5EF4-FFF2-40B4-BE49-F238E27FC236}">
              <a16:creationId xmlns:a16="http://schemas.microsoft.com/office/drawing/2014/main" id="{00000000-0008-0000-0B00-000001B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361950</xdr:colOff>
      <xdr:row>1</xdr:row>
      <xdr:rowOff>161925</xdr:rowOff>
    </xdr:from>
    <xdr:to>
      <xdr:col>21</xdr:col>
      <xdr:colOff>57150</xdr:colOff>
      <xdr:row>15</xdr:row>
      <xdr:rowOff>28575</xdr:rowOff>
    </xdr:to>
    <xdr:graphicFrame macro="">
      <xdr:nvGraphicFramePr>
        <xdr:cNvPr id="48130" name="Chart 2">
          <a:extLst>
            <a:ext uri="{FF2B5EF4-FFF2-40B4-BE49-F238E27FC236}">
              <a16:creationId xmlns:a16="http://schemas.microsoft.com/office/drawing/2014/main" id="{00000000-0008-0000-0B00-000002B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923925</xdr:colOff>
      <xdr:row>18</xdr:row>
      <xdr:rowOff>133350</xdr:rowOff>
    </xdr:from>
    <xdr:to>
      <xdr:col>9</xdr:col>
      <xdr:colOff>457200</xdr:colOff>
      <xdr:row>30</xdr:row>
      <xdr:rowOff>66675</xdr:rowOff>
    </xdr:to>
    <xdr:graphicFrame macro="">
      <xdr:nvGraphicFramePr>
        <xdr:cNvPr id="48131" name="Chart 3">
          <a:extLst>
            <a:ext uri="{FF2B5EF4-FFF2-40B4-BE49-F238E27FC236}">
              <a16:creationId xmlns:a16="http://schemas.microsoft.com/office/drawing/2014/main" id="{00000000-0008-0000-0B00-000003B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95250</xdr:colOff>
      <xdr:row>19</xdr:row>
      <xdr:rowOff>0</xdr:rowOff>
    </xdr:from>
    <xdr:to>
      <xdr:col>14</xdr:col>
      <xdr:colOff>581025</xdr:colOff>
      <xdr:row>30</xdr:row>
      <xdr:rowOff>95250</xdr:rowOff>
    </xdr:to>
    <xdr:graphicFrame macro="">
      <xdr:nvGraphicFramePr>
        <xdr:cNvPr id="48132" name="Chart 4">
          <a:extLst>
            <a:ext uri="{FF2B5EF4-FFF2-40B4-BE49-F238E27FC236}">
              <a16:creationId xmlns:a16="http://schemas.microsoft.com/office/drawing/2014/main" id="{00000000-0008-0000-0B00-000004B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0</xdr:colOff>
      <xdr:row>19</xdr:row>
      <xdr:rowOff>0</xdr:rowOff>
    </xdr:from>
    <xdr:to>
      <xdr:col>20</xdr:col>
      <xdr:colOff>485775</xdr:colOff>
      <xdr:row>30</xdr:row>
      <xdr:rowOff>95250</xdr:rowOff>
    </xdr:to>
    <xdr:graphicFrame macro="">
      <xdr:nvGraphicFramePr>
        <xdr:cNvPr id="48133" name="Chart 5">
          <a:extLst>
            <a:ext uri="{FF2B5EF4-FFF2-40B4-BE49-F238E27FC236}">
              <a16:creationId xmlns:a16="http://schemas.microsoft.com/office/drawing/2014/main" id="{00000000-0008-0000-0B00-000005B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857250</xdr:colOff>
      <xdr:row>32</xdr:row>
      <xdr:rowOff>9525</xdr:rowOff>
    </xdr:from>
    <xdr:to>
      <xdr:col>12</xdr:col>
      <xdr:colOff>152400</xdr:colOff>
      <xdr:row>43</xdr:row>
      <xdr:rowOff>38100</xdr:rowOff>
    </xdr:to>
    <xdr:graphicFrame macro="">
      <xdr:nvGraphicFramePr>
        <xdr:cNvPr id="48134" name="Chart 6">
          <a:extLst>
            <a:ext uri="{FF2B5EF4-FFF2-40B4-BE49-F238E27FC236}">
              <a16:creationId xmlns:a16="http://schemas.microsoft.com/office/drawing/2014/main" id="{00000000-0008-0000-0B00-000006B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</xdr:row>
      <xdr:rowOff>180975</xdr:rowOff>
    </xdr:from>
    <xdr:to>
      <xdr:col>24</xdr:col>
      <xdr:colOff>304800</xdr:colOff>
      <xdr:row>15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381000</xdr:colOff>
      <xdr:row>17</xdr:row>
      <xdr:rowOff>0</xdr:rowOff>
    </xdr:from>
    <xdr:to>
      <xdr:col>23</xdr:col>
      <xdr:colOff>438150</xdr:colOff>
      <xdr:row>33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514350</xdr:colOff>
      <xdr:row>1</xdr:row>
      <xdr:rowOff>171450</xdr:rowOff>
    </xdr:from>
    <xdr:to>
      <xdr:col>21</xdr:col>
      <xdr:colOff>209550</xdr:colOff>
      <xdr:row>14</xdr:row>
      <xdr:rowOff>171450</xdr:rowOff>
    </xdr:to>
    <xdr:graphicFrame macro="">
      <xdr:nvGraphicFramePr>
        <xdr:cNvPr id="5121" name="Chart 1">
          <a:extLst>
            <a:ext uri="{FF2B5EF4-FFF2-40B4-BE49-F238E27FC236}">
              <a16:creationId xmlns:a16="http://schemas.microsoft.com/office/drawing/2014/main" id="{00000000-0008-0000-01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428625</xdr:colOff>
      <xdr:row>17</xdr:row>
      <xdr:rowOff>114300</xdr:rowOff>
    </xdr:from>
    <xdr:to>
      <xdr:col>19</xdr:col>
      <xdr:colOff>485775</xdr:colOff>
      <xdr:row>36</xdr:row>
      <xdr:rowOff>114300</xdr:rowOff>
    </xdr:to>
    <xdr:graphicFrame macro="">
      <xdr:nvGraphicFramePr>
        <xdr:cNvPr id="5122" name="Chart 2">
          <a:extLst>
            <a:ext uri="{FF2B5EF4-FFF2-40B4-BE49-F238E27FC236}">
              <a16:creationId xmlns:a16="http://schemas.microsoft.com/office/drawing/2014/main" id="{00000000-0008-0000-01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1</xdr:row>
      <xdr:rowOff>161925</xdr:rowOff>
    </xdr:from>
    <xdr:to>
      <xdr:col>13</xdr:col>
      <xdr:colOff>200025</xdr:colOff>
      <xdr:row>15</xdr:row>
      <xdr:rowOff>19050</xdr:rowOff>
    </xdr:to>
    <xdr:graphicFrame macro="">
      <xdr:nvGraphicFramePr>
        <xdr:cNvPr id="8193" name="Chart 1">
          <a:extLst>
            <a:ext uri="{FF2B5EF4-FFF2-40B4-BE49-F238E27FC236}">
              <a16:creationId xmlns:a16="http://schemas.microsoft.com/office/drawing/2014/main" id="{00000000-0008-0000-0200-000001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361950</xdr:colOff>
      <xdr:row>1</xdr:row>
      <xdr:rowOff>161925</xdr:rowOff>
    </xdr:from>
    <xdr:to>
      <xdr:col>21</xdr:col>
      <xdr:colOff>57150</xdr:colOff>
      <xdr:row>15</xdr:row>
      <xdr:rowOff>28575</xdr:rowOff>
    </xdr:to>
    <xdr:graphicFrame macro="">
      <xdr:nvGraphicFramePr>
        <xdr:cNvPr id="8194" name="Chart 2">
          <a:extLst>
            <a:ext uri="{FF2B5EF4-FFF2-40B4-BE49-F238E27FC236}">
              <a16:creationId xmlns:a16="http://schemas.microsoft.com/office/drawing/2014/main" id="{00000000-0008-0000-0200-000002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923925</xdr:colOff>
      <xdr:row>18</xdr:row>
      <xdr:rowOff>133350</xdr:rowOff>
    </xdr:from>
    <xdr:to>
      <xdr:col>9</xdr:col>
      <xdr:colOff>457200</xdr:colOff>
      <xdr:row>30</xdr:row>
      <xdr:rowOff>66675</xdr:rowOff>
    </xdr:to>
    <xdr:graphicFrame macro="">
      <xdr:nvGraphicFramePr>
        <xdr:cNvPr id="8195" name="Chart 3">
          <a:extLst>
            <a:ext uri="{FF2B5EF4-FFF2-40B4-BE49-F238E27FC236}">
              <a16:creationId xmlns:a16="http://schemas.microsoft.com/office/drawing/2014/main" id="{00000000-0008-0000-0200-000003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95250</xdr:colOff>
      <xdr:row>19</xdr:row>
      <xdr:rowOff>0</xdr:rowOff>
    </xdr:from>
    <xdr:to>
      <xdr:col>14</xdr:col>
      <xdr:colOff>581025</xdr:colOff>
      <xdr:row>30</xdr:row>
      <xdr:rowOff>95250</xdr:rowOff>
    </xdr:to>
    <xdr:graphicFrame macro="">
      <xdr:nvGraphicFramePr>
        <xdr:cNvPr id="8196" name="Chart 4">
          <a:extLst>
            <a:ext uri="{FF2B5EF4-FFF2-40B4-BE49-F238E27FC236}">
              <a16:creationId xmlns:a16="http://schemas.microsoft.com/office/drawing/2014/main" id="{00000000-0008-0000-0200-000004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0</xdr:colOff>
      <xdr:row>19</xdr:row>
      <xdr:rowOff>0</xdr:rowOff>
    </xdr:from>
    <xdr:to>
      <xdr:col>20</xdr:col>
      <xdr:colOff>485775</xdr:colOff>
      <xdr:row>30</xdr:row>
      <xdr:rowOff>95250</xdr:rowOff>
    </xdr:to>
    <xdr:graphicFrame macro="">
      <xdr:nvGraphicFramePr>
        <xdr:cNvPr id="8197" name="Chart 5">
          <a:extLst>
            <a:ext uri="{FF2B5EF4-FFF2-40B4-BE49-F238E27FC236}">
              <a16:creationId xmlns:a16="http://schemas.microsoft.com/office/drawing/2014/main" id="{00000000-0008-0000-0200-000005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857250</xdr:colOff>
      <xdr:row>32</xdr:row>
      <xdr:rowOff>9525</xdr:rowOff>
    </xdr:from>
    <xdr:to>
      <xdr:col>12</xdr:col>
      <xdr:colOff>152400</xdr:colOff>
      <xdr:row>43</xdr:row>
      <xdr:rowOff>38100</xdr:rowOff>
    </xdr:to>
    <xdr:graphicFrame macro="">
      <xdr:nvGraphicFramePr>
        <xdr:cNvPr id="8198" name="Chart 6">
          <a:extLst>
            <a:ext uri="{FF2B5EF4-FFF2-40B4-BE49-F238E27FC236}">
              <a16:creationId xmlns:a16="http://schemas.microsoft.com/office/drawing/2014/main" id="{00000000-0008-0000-0200-000006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514350</xdr:colOff>
      <xdr:row>1</xdr:row>
      <xdr:rowOff>171450</xdr:rowOff>
    </xdr:from>
    <xdr:to>
      <xdr:col>21</xdr:col>
      <xdr:colOff>209550</xdr:colOff>
      <xdr:row>14</xdr:row>
      <xdr:rowOff>171450</xdr:rowOff>
    </xdr:to>
    <xdr:graphicFrame macro="">
      <xdr:nvGraphicFramePr>
        <xdr:cNvPr id="15361" name="Chart 1">
          <a:extLst>
            <a:ext uri="{FF2B5EF4-FFF2-40B4-BE49-F238E27FC236}">
              <a16:creationId xmlns:a16="http://schemas.microsoft.com/office/drawing/2014/main" id="{00000000-0008-0000-0300-0000013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428625</xdr:colOff>
      <xdr:row>17</xdr:row>
      <xdr:rowOff>114300</xdr:rowOff>
    </xdr:from>
    <xdr:to>
      <xdr:col>19</xdr:col>
      <xdr:colOff>485775</xdr:colOff>
      <xdr:row>36</xdr:row>
      <xdr:rowOff>114300</xdr:rowOff>
    </xdr:to>
    <xdr:graphicFrame macro="">
      <xdr:nvGraphicFramePr>
        <xdr:cNvPr id="15362" name="Chart 2">
          <a:extLst>
            <a:ext uri="{FF2B5EF4-FFF2-40B4-BE49-F238E27FC236}">
              <a16:creationId xmlns:a16="http://schemas.microsoft.com/office/drawing/2014/main" id="{00000000-0008-0000-0300-0000023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514350</xdr:colOff>
      <xdr:row>1</xdr:row>
      <xdr:rowOff>171450</xdr:rowOff>
    </xdr:from>
    <xdr:to>
      <xdr:col>21</xdr:col>
      <xdr:colOff>209550</xdr:colOff>
      <xdr:row>14</xdr:row>
      <xdr:rowOff>171450</xdr:rowOff>
    </xdr:to>
    <xdr:graphicFrame macro="">
      <xdr:nvGraphicFramePr>
        <xdr:cNvPr id="18433" name="Chart 1">
          <a:extLst>
            <a:ext uri="{FF2B5EF4-FFF2-40B4-BE49-F238E27FC236}">
              <a16:creationId xmlns:a16="http://schemas.microsoft.com/office/drawing/2014/main" id="{00000000-0008-0000-0400-0000014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428625</xdr:colOff>
      <xdr:row>17</xdr:row>
      <xdr:rowOff>114300</xdr:rowOff>
    </xdr:from>
    <xdr:to>
      <xdr:col>19</xdr:col>
      <xdr:colOff>485775</xdr:colOff>
      <xdr:row>36</xdr:row>
      <xdr:rowOff>114300</xdr:rowOff>
    </xdr:to>
    <xdr:graphicFrame macro="">
      <xdr:nvGraphicFramePr>
        <xdr:cNvPr id="18434" name="Chart 2">
          <a:extLst>
            <a:ext uri="{FF2B5EF4-FFF2-40B4-BE49-F238E27FC236}">
              <a16:creationId xmlns:a16="http://schemas.microsoft.com/office/drawing/2014/main" id="{00000000-0008-0000-0400-0000024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1</xdr:row>
      <xdr:rowOff>161925</xdr:rowOff>
    </xdr:from>
    <xdr:to>
      <xdr:col>13</xdr:col>
      <xdr:colOff>200025</xdr:colOff>
      <xdr:row>15</xdr:row>
      <xdr:rowOff>19050</xdr:rowOff>
    </xdr:to>
    <xdr:graphicFrame macro="">
      <xdr:nvGraphicFramePr>
        <xdr:cNvPr id="21505" name="Chart 1">
          <a:extLst>
            <a:ext uri="{FF2B5EF4-FFF2-40B4-BE49-F238E27FC236}">
              <a16:creationId xmlns:a16="http://schemas.microsoft.com/office/drawing/2014/main" id="{00000000-0008-0000-0500-000001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361950</xdr:colOff>
      <xdr:row>1</xdr:row>
      <xdr:rowOff>161925</xdr:rowOff>
    </xdr:from>
    <xdr:to>
      <xdr:col>21</xdr:col>
      <xdr:colOff>57150</xdr:colOff>
      <xdr:row>15</xdr:row>
      <xdr:rowOff>28575</xdr:rowOff>
    </xdr:to>
    <xdr:graphicFrame macro="">
      <xdr:nvGraphicFramePr>
        <xdr:cNvPr id="21506" name="Chart 2">
          <a:extLst>
            <a:ext uri="{FF2B5EF4-FFF2-40B4-BE49-F238E27FC236}">
              <a16:creationId xmlns:a16="http://schemas.microsoft.com/office/drawing/2014/main" id="{00000000-0008-0000-0500-000002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923925</xdr:colOff>
      <xdr:row>18</xdr:row>
      <xdr:rowOff>133350</xdr:rowOff>
    </xdr:from>
    <xdr:to>
      <xdr:col>9</xdr:col>
      <xdr:colOff>457200</xdr:colOff>
      <xdr:row>30</xdr:row>
      <xdr:rowOff>66675</xdr:rowOff>
    </xdr:to>
    <xdr:graphicFrame macro="">
      <xdr:nvGraphicFramePr>
        <xdr:cNvPr id="21507" name="Chart 3">
          <a:extLst>
            <a:ext uri="{FF2B5EF4-FFF2-40B4-BE49-F238E27FC236}">
              <a16:creationId xmlns:a16="http://schemas.microsoft.com/office/drawing/2014/main" id="{00000000-0008-0000-0500-000003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95250</xdr:colOff>
      <xdr:row>19</xdr:row>
      <xdr:rowOff>0</xdr:rowOff>
    </xdr:from>
    <xdr:to>
      <xdr:col>14</xdr:col>
      <xdr:colOff>581025</xdr:colOff>
      <xdr:row>30</xdr:row>
      <xdr:rowOff>95250</xdr:rowOff>
    </xdr:to>
    <xdr:graphicFrame macro="">
      <xdr:nvGraphicFramePr>
        <xdr:cNvPr id="21508" name="Chart 4">
          <a:extLst>
            <a:ext uri="{FF2B5EF4-FFF2-40B4-BE49-F238E27FC236}">
              <a16:creationId xmlns:a16="http://schemas.microsoft.com/office/drawing/2014/main" id="{00000000-0008-0000-0500-000004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0</xdr:colOff>
      <xdr:row>19</xdr:row>
      <xdr:rowOff>0</xdr:rowOff>
    </xdr:from>
    <xdr:to>
      <xdr:col>20</xdr:col>
      <xdr:colOff>485775</xdr:colOff>
      <xdr:row>30</xdr:row>
      <xdr:rowOff>95250</xdr:rowOff>
    </xdr:to>
    <xdr:graphicFrame macro="">
      <xdr:nvGraphicFramePr>
        <xdr:cNvPr id="21509" name="Chart 5">
          <a:extLst>
            <a:ext uri="{FF2B5EF4-FFF2-40B4-BE49-F238E27FC236}">
              <a16:creationId xmlns:a16="http://schemas.microsoft.com/office/drawing/2014/main" id="{00000000-0008-0000-0500-000005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857250</xdr:colOff>
      <xdr:row>32</xdr:row>
      <xdr:rowOff>9525</xdr:rowOff>
    </xdr:from>
    <xdr:to>
      <xdr:col>12</xdr:col>
      <xdr:colOff>152400</xdr:colOff>
      <xdr:row>43</xdr:row>
      <xdr:rowOff>38100</xdr:rowOff>
    </xdr:to>
    <xdr:graphicFrame macro="">
      <xdr:nvGraphicFramePr>
        <xdr:cNvPr id="21510" name="Chart 6">
          <a:extLst>
            <a:ext uri="{FF2B5EF4-FFF2-40B4-BE49-F238E27FC236}">
              <a16:creationId xmlns:a16="http://schemas.microsoft.com/office/drawing/2014/main" id="{00000000-0008-0000-0500-000006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514350</xdr:colOff>
      <xdr:row>1</xdr:row>
      <xdr:rowOff>171450</xdr:rowOff>
    </xdr:from>
    <xdr:to>
      <xdr:col>19</xdr:col>
      <xdr:colOff>552450</xdr:colOff>
      <xdr:row>14</xdr:row>
      <xdr:rowOff>171450</xdr:rowOff>
    </xdr:to>
    <xdr:graphicFrame macro="">
      <xdr:nvGraphicFramePr>
        <xdr:cNvPr id="28673" name="Chart 1">
          <a:extLst>
            <a:ext uri="{FF2B5EF4-FFF2-40B4-BE49-F238E27FC236}">
              <a16:creationId xmlns:a16="http://schemas.microsoft.com/office/drawing/2014/main" id="{00000000-0008-0000-0600-0000017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428625</xdr:colOff>
      <xdr:row>17</xdr:row>
      <xdr:rowOff>114300</xdr:rowOff>
    </xdr:from>
    <xdr:to>
      <xdr:col>19</xdr:col>
      <xdr:colOff>485775</xdr:colOff>
      <xdr:row>36</xdr:row>
      <xdr:rowOff>114300</xdr:rowOff>
    </xdr:to>
    <xdr:graphicFrame macro="">
      <xdr:nvGraphicFramePr>
        <xdr:cNvPr id="28674" name="Chart 2">
          <a:extLst>
            <a:ext uri="{FF2B5EF4-FFF2-40B4-BE49-F238E27FC236}">
              <a16:creationId xmlns:a16="http://schemas.microsoft.com/office/drawing/2014/main" id="{00000000-0008-0000-0600-0000027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514350</xdr:colOff>
      <xdr:row>1</xdr:row>
      <xdr:rowOff>171450</xdr:rowOff>
    </xdr:from>
    <xdr:to>
      <xdr:col>19</xdr:col>
      <xdr:colOff>552450</xdr:colOff>
      <xdr:row>14</xdr:row>
      <xdr:rowOff>171450</xdr:rowOff>
    </xdr:to>
    <xdr:graphicFrame macro="">
      <xdr:nvGraphicFramePr>
        <xdr:cNvPr id="31745" name="Chart 1">
          <a:extLst>
            <a:ext uri="{FF2B5EF4-FFF2-40B4-BE49-F238E27FC236}">
              <a16:creationId xmlns:a16="http://schemas.microsoft.com/office/drawing/2014/main" id="{00000000-0008-0000-0700-0000017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428625</xdr:colOff>
      <xdr:row>17</xdr:row>
      <xdr:rowOff>114300</xdr:rowOff>
    </xdr:from>
    <xdr:to>
      <xdr:col>19</xdr:col>
      <xdr:colOff>485775</xdr:colOff>
      <xdr:row>36</xdr:row>
      <xdr:rowOff>114300</xdr:rowOff>
    </xdr:to>
    <xdr:graphicFrame macro="">
      <xdr:nvGraphicFramePr>
        <xdr:cNvPr id="31746" name="Chart 2">
          <a:extLst>
            <a:ext uri="{FF2B5EF4-FFF2-40B4-BE49-F238E27FC236}">
              <a16:creationId xmlns:a16="http://schemas.microsoft.com/office/drawing/2014/main" id="{00000000-0008-0000-0700-0000027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1</xdr:row>
      <xdr:rowOff>161925</xdr:rowOff>
    </xdr:from>
    <xdr:to>
      <xdr:col>13</xdr:col>
      <xdr:colOff>200025</xdr:colOff>
      <xdr:row>15</xdr:row>
      <xdr:rowOff>19050</xdr:rowOff>
    </xdr:to>
    <xdr:graphicFrame macro="">
      <xdr:nvGraphicFramePr>
        <xdr:cNvPr id="34817" name="Chart 1">
          <a:extLst>
            <a:ext uri="{FF2B5EF4-FFF2-40B4-BE49-F238E27FC236}">
              <a16:creationId xmlns:a16="http://schemas.microsoft.com/office/drawing/2014/main" id="{00000000-0008-0000-0800-0000018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361950</xdr:colOff>
      <xdr:row>1</xdr:row>
      <xdr:rowOff>161925</xdr:rowOff>
    </xdr:from>
    <xdr:to>
      <xdr:col>21</xdr:col>
      <xdr:colOff>57150</xdr:colOff>
      <xdr:row>15</xdr:row>
      <xdr:rowOff>28575</xdr:rowOff>
    </xdr:to>
    <xdr:graphicFrame macro="">
      <xdr:nvGraphicFramePr>
        <xdr:cNvPr id="34818" name="Chart 2">
          <a:extLst>
            <a:ext uri="{FF2B5EF4-FFF2-40B4-BE49-F238E27FC236}">
              <a16:creationId xmlns:a16="http://schemas.microsoft.com/office/drawing/2014/main" id="{00000000-0008-0000-0800-0000028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923925</xdr:colOff>
      <xdr:row>18</xdr:row>
      <xdr:rowOff>133350</xdr:rowOff>
    </xdr:from>
    <xdr:to>
      <xdr:col>9</xdr:col>
      <xdr:colOff>457200</xdr:colOff>
      <xdr:row>30</xdr:row>
      <xdr:rowOff>66675</xdr:rowOff>
    </xdr:to>
    <xdr:graphicFrame macro="">
      <xdr:nvGraphicFramePr>
        <xdr:cNvPr id="34819" name="Chart 3">
          <a:extLst>
            <a:ext uri="{FF2B5EF4-FFF2-40B4-BE49-F238E27FC236}">
              <a16:creationId xmlns:a16="http://schemas.microsoft.com/office/drawing/2014/main" id="{00000000-0008-0000-0800-0000038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95250</xdr:colOff>
      <xdr:row>19</xdr:row>
      <xdr:rowOff>0</xdr:rowOff>
    </xdr:from>
    <xdr:to>
      <xdr:col>14</xdr:col>
      <xdr:colOff>581025</xdr:colOff>
      <xdr:row>30</xdr:row>
      <xdr:rowOff>95250</xdr:rowOff>
    </xdr:to>
    <xdr:graphicFrame macro="">
      <xdr:nvGraphicFramePr>
        <xdr:cNvPr id="34820" name="Chart 4">
          <a:extLst>
            <a:ext uri="{FF2B5EF4-FFF2-40B4-BE49-F238E27FC236}">
              <a16:creationId xmlns:a16="http://schemas.microsoft.com/office/drawing/2014/main" id="{00000000-0008-0000-0800-0000048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0</xdr:colOff>
      <xdr:row>19</xdr:row>
      <xdr:rowOff>0</xdr:rowOff>
    </xdr:from>
    <xdr:to>
      <xdr:col>20</xdr:col>
      <xdr:colOff>485775</xdr:colOff>
      <xdr:row>30</xdr:row>
      <xdr:rowOff>95250</xdr:rowOff>
    </xdr:to>
    <xdr:graphicFrame macro="">
      <xdr:nvGraphicFramePr>
        <xdr:cNvPr id="34821" name="Chart 5">
          <a:extLst>
            <a:ext uri="{FF2B5EF4-FFF2-40B4-BE49-F238E27FC236}">
              <a16:creationId xmlns:a16="http://schemas.microsoft.com/office/drawing/2014/main" id="{00000000-0008-0000-0800-0000058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857250</xdr:colOff>
      <xdr:row>32</xdr:row>
      <xdr:rowOff>9525</xdr:rowOff>
    </xdr:from>
    <xdr:to>
      <xdr:col>12</xdr:col>
      <xdr:colOff>152400</xdr:colOff>
      <xdr:row>43</xdr:row>
      <xdr:rowOff>38100</xdr:rowOff>
    </xdr:to>
    <xdr:graphicFrame macro="">
      <xdr:nvGraphicFramePr>
        <xdr:cNvPr id="34822" name="Chart 6">
          <a:extLst>
            <a:ext uri="{FF2B5EF4-FFF2-40B4-BE49-F238E27FC236}">
              <a16:creationId xmlns:a16="http://schemas.microsoft.com/office/drawing/2014/main" id="{00000000-0008-0000-0800-0000068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6"/>
  <sheetViews>
    <sheetView tabSelected="1" topLeftCell="A2" workbookViewId="0">
      <selection activeCell="H5" sqref="H5"/>
    </sheetView>
  </sheetViews>
  <sheetFormatPr defaultRowHeight="15" x14ac:dyDescent="0.25"/>
  <cols>
    <col min="2" max="2" width="12.7109375" customWidth="1"/>
    <col min="3" max="3" width="20.42578125" customWidth="1"/>
    <col min="4" max="4" width="20" customWidth="1"/>
    <col min="5" max="5" width="25.28515625" customWidth="1"/>
    <col min="6" max="6" width="23.28515625" customWidth="1"/>
    <col min="7" max="7" width="12.42578125" customWidth="1"/>
    <col min="8" max="8" width="20.5703125" customWidth="1"/>
  </cols>
  <sheetData>
    <row r="1" spans="1:8" x14ac:dyDescent="0.25">
      <c r="A1" s="29" t="s">
        <v>65</v>
      </c>
    </row>
    <row r="2" spans="1:8" x14ac:dyDescent="0.25">
      <c r="A2" s="65" t="s">
        <v>22</v>
      </c>
      <c r="B2" s="65"/>
      <c r="C2" s="65"/>
      <c r="H2" s="8" t="s">
        <v>21</v>
      </c>
    </row>
    <row r="3" spans="1:8" ht="15.75" thickBot="1" x14ac:dyDescent="0.3">
      <c r="C3" s="72" t="s">
        <v>6</v>
      </c>
      <c r="D3" s="72"/>
      <c r="E3" s="73" t="s">
        <v>10</v>
      </c>
      <c r="F3" s="73"/>
      <c r="H3">
        <v>192.5</v>
      </c>
    </row>
    <row r="4" spans="1:8" ht="16.5" thickTop="1" thickBot="1" x14ac:dyDescent="0.3">
      <c r="C4" s="1" t="s">
        <v>7</v>
      </c>
      <c r="D4" s="1" t="s">
        <v>8</v>
      </c>
      <c r="E4" s="1" t="s">
        <v>7</v>
      </c>
      <c r="F4" s="1" t="s">
        <v>11</v>
      </c>
    </row>
    <row r="5" spans="1:8" ht="16.5" thickTop="1" thickBot="1" x14ac:dyDescent="0.3">
      <c r="C5">
        <f>B11</f>
        <v>5495.91</v>
      </c>
      <c r="D5" s="20">
        <v>30</v>
      </c>
      <c r="E5">
        <f>B11</f>
        <v>5495.91</v>
      </c>
      <c r="F5" s="22">
        <v>2</v>
      </c>
    </row>
    <row r="6" spans="1:8" ht="16.5" thickTop="1" thickBot="1" x14ac:dyDescent="0.3">
      <c r="E6" s="1" t="s">
        <v>12</v>
      </c>
      <c r="F6" s="1" t="s">
        <v>13</v>
      </c>
    </row>
    <row r="7" spans="1:8" ht="15.75" thickTop="1" x14ac:dyDescent="0.25">
      <c r="E7" s="22">
        <v>30</v>
      </c>
      <c r="F7" s="22">
        <v>0.58704419308281419</v>
      </c>
    </row>
    <row r="8" spans="1:8" ht="30.75" customHeight="1" x14ac:dyDescent="0.25">
      <c r="E8" s="49"/>
    </row>
    <row r="9" spans="1:8" ht="15.75" thickBot="1" x14ac:dyDescent="0.3">
      <c r="A9" s="66" t="s">
        <v>4</v>
      </c>
      <c r="B9" s="67"/>
      <c r="C9" s="68" t="s">
        <v>9</v>
      </c>
      <c r="D9" s="69"/>
      <c r="E9" s="70" t="s">
        <v>14</v>
      </c>
      <c r="F9" s="71"/>
      <c r="H9" s="4" t="s">
        <v>5</v>
      </c>
    </row>
    <row r="10" spans="1:8" ht="31.5" thickTop="1" thickBot="1" x14ac:dyDescent="0.3">
      <c r="A10" s="1" t="s">
        <v>0</v>
      </c>
      <c r="B10" s="32" t="s">
        <v>53</v>
      </c>
      <c r="C10" s="2" t="s">
        <v>2</v>
      </c>
      <c r="D10" s="2" t="s">
        <v>3</v>
      </c>
      <c r="E10" s="19" t="s">
        <v>2</v>
      </c>
      <c r="F10" s="1" t="s">
        <v>3</v>
      </c>
      <c r="H10" s="1" t="s">
        <v>15</v>
      </c>
    </row>
    <row r="11" spans="1:8" ht="15.75" thickTop="1" x14ac:dyDescent="0.25">
      <c r="A11" s="5">
        <v>0</v>
      </c>
      <c r="B11" s="5">
        <v>5495.91</v>
      </c>
      <c r="C11" s="16">
        <f>$C$5*EXP((-1)*(LN(2)/$D$5)*($A11-$A$11))</f>
        <v>5495.91</v>
      </c>
      <c r="D11" s="17">
        <f>(B11-C11)^2</f>
        <v>0</v>
      </c>
      <c r="E11" s="21">
        <f>$E$5*(($F$7)*(EXP((-1)*(LN(2)/$F$5)*($A11-$A$11)))+((1-$F$7)*(EXP((-1)*(LN(2)/$E$7)*($A11-$A$11)))))</f>
        <v>5495.91</v>
      </c>
      <c r="F11" s="18">
        <f>(B11-E11)^2</f>
        <v>0</v>
      </c>
      <c r="H11">
        <f>0.5*($B11+$B12)*($A12-$A11)</f>
        <v>7784.3831999999993</v>
      </c>
    </row>
    <row r="12" spans="1:8" x14ac:dyDescent="0.25">
      <c r="A12" s="5">
        <v>1.42</v>
      </c>
      <c r="B12" s="5">
        <v>5468.01</v>
      </c>
      <c r="C12" s="16">
        <f t="shared" ref="C12:C36" si="0">$C$5*EXP((-1)*(LN(2)/$D$5)*($A12-$A$11))</f>
        <v>5318.5207633795899</v>
      </c>
      <c r="D12" s="17">
        <f t="shared" ref="D12:D36" si="1">(B12-C12)^2</f>
        <v>22347.03186535303</v>
      </c>
      <c r="E12" s="21">
        <f t="shared" ref="E12:E36" si="2">$E$5*(($F$7)*(EXP((-1)*(LN(2)/$F$5)*($A12-$A$11)))+((1-$F$7)*(EXP((-1)*(LN(2)/$E$7)*($A12-$A$11)))))</f>
        <v>4168.6419041551353</v>
      </c>
      <c r="F12" s="18">
        <f t="shared" ref="F12:F36" si="3">(B12-E12)^2</f>
        <v>1688357.4484995101</v>
      </c>
      <c r="H12">
        <f t="shared" ref="H12:H35" si="4">0.5*($B12+$B13)*($A13-$A12)</f>
        <v>18273.234000000004</v>
      </c>
    </row>
    <row r="13" spans="1:8" x14ac:dyDescent="0.25">
      <c r="A13" s="5">
        <v>5.1300000000000008</v>
      </c>
      <c r="B13" s="5">
        <v>4382.79</v>
      </c>
      <c r="C13" s="16">
        <f t="shared" si="0"/>
        <v>4881.6145295382312</v>
      </c>
      <c r="D13" s="17">
        <f t="shared" si="1"/>
        <v>248825.91126903772</v>
      </c>
      <c r="E13" s="21">
        <f t="shared" si="2"/>
        <v>2561.1069133640262</v>
      </c>
      <c r="F13" s="18">
        <f t="shared" si="3"/>
        <v>3318529.2681355686</v>
      </c>
      <c r="H13">
        <f t="shared" si="4"/>
        <v>7585.6052999999974</v>
      </c>
    </row>
    <row r="14" spans="1:8" x14ac:dyDescent="0.25">
      <c r="A14" s="5">
        <v>6.95</v>
      </c>
      <c r="B14" s="5">
        <v>3953.04</v>
      </c>
      <c r="C14" s="16">
        <f t="shared" si="0"/>
        <v>4680.5942689374333</v>
      </c>
      <c r="D14" s="17">
        <f t="shared" si="1"/>
        <v>529335.21424908307</v>
      </c>
      <c r="E14" s="21">
        <f t="shared" si="2"/>
        <v>2223.0343280610737</v>
      </c>
      <c r="F14" s="18">
        <f t="shared" si="3"/>
        <v>2992919.6249408559</v>
      </c>
      <c r="H14">
        <f t="shared" si="4"/>
        <v>11092.142600000005</v>
      </c>
    </row>
    <row r="15" spans="1:8" x14ac:dyDescent="0.25">
      <c r="A15" s="5">
        <v>10.030000000000001</v>
      </c>
      <c r="B15" s="5">
        <v>3249.65</v>
      </c>
      <c r="C15" s="16">
        <f t="shared" si="0"/>
        <v>4359.0841234817171</v>
      </c>
      <c r="D15" s="17">
        <f t="shared" si="1"/>
        <v>1230844.0743456457</v>
      </c>
      <c r="E15" s="21">
        <f t="shared" si="2"/>
        <v>1899.8894418462885</v>
      </c>
      <c r="F15" s="18">
        <f t="shared" si="3"/>
        <v>1821853.564347419</v>
      </c>
      <c r="H15">
        <f t="shared" si="4"/>
        <v>8609.21875</v>
      </c>
    </row>
    <row r="16" spans="1:8" x14ac:dyDescent="0.25">
      <c r="A16" s="5">
        <v>12.780000000000001</v>
      </c>
      <c r="B16" s="5">
        <v>3011.6</v>
      </c>
      <c r="C16" s="16">
        <f t="shared" si="0"/>
        <v>4090.7301721611684</v>
      </c>
      <c r="D16" s="17">
        <f t="shared" si="1"/>
        <v>1164521.9284685932</v>
      </c>
      <c r="E16" s="21">
        <f t="shared" si="2"/>
        <v>1727.7613593355243</v>
      </c>
      <c r="F16" s="18">
        <f t="shared" si="3"/>
        <v>1648241.6552632086</v>
      </c>
      <c r="H16">
        <f t="shared" si="4"/>
        <v>24130.48499999999</v>
      </c>
    </row>
    <row r="17" spans="1:8" x14ac:dyDescent="0.25">
      <c r="A17" s="5">
        <v>21.779999999999998</v>
      </c>
      <c r="B17" s="5">
        <v>2350.73</v>
      </c>
      <c r="C17" s="16">
        <f t="shared" si="0"/>
        <v>3322.7053851846654</v>
      </c>
      <c r="D17" s="17">
        <f t="shared" si="1"/>
        <v>944736.14940487861</v>
      </c>
      <c r="E17" s="21">
        <f t="shared" si="2"/>
        <v>1373.8306589959393</v>
      </c>
      <c r="F17" s="18">
        <f t="shared" si="3"/>
        <v>954332.32245416811</v>
      </c>
      <c r="H17">
        <f t="shared" si="4"/>
        <v>7680.694400000004</v>
      </c>
    </row>
    <row r="18" spans="1:8" x14ac:dyDescent="0.25">
      <c r="A18" s="5">
        <v>25.22</v>
      </c>
      <c r="B18" s="5">
        <v>2114.79</v>
      </c>
      <c r="C18" s="16">
        <f t="shared" si="0"/>
        <v>3068.8363462919351</v>
      </c>
      <c r="D18" s="17">
        <f t="shared" si="1"/>
        <v>910204.4308729911</v>
      </c>
      <c r="E18" s="21">
        <f t="shared" si="2"/>
        <v>1267.8098757811526</v>
      </c>
      <c r="F18" s="18">
        <f t="shared" si="3"/>
        <v>717375.33082177409</v>
      </c>
      <c r="H18">
        <f t="shared" si="4"/>
        <v>6623.6759999999967</v>
      </c>
    </row>
    <row r="19" spans="1:8" x14ac:dyDescent="0.25">
      <c r="A19" s="5">
        <v>28.619999999999997</v>
      </c>
      <c r="B19" s="5">
        <v>1781.49</v>
      </c>
      <c r="C19" s="16">
        <f t="shared" si="0"/>
        <v>2836.9847175738519</v>
      </c>
      <c r="D19" s="17">
        <f t="shared" si="1"/>
        <v>1114069.0988263052</v>
      </c>
      <c r="E19" s="21">
        <f t="shared" si="2"/>
        <v>1171.7081573875637</v>
      </c>
      <c r="F19" s="18">
        <f t="shared" si="3"/>
        <v>371833.89557981805</v>
      </c>
      <c r="H19">
        <f t="shared" si="4"/>
        <v>3961.5085000000013</v>
      </c>
    </row>
    <row r="20" spans="1:8" x14ac:dyDescent="0.25">
      <c r="A20" s="5">
        <v>30.919999999999998</v>
      </c>
      <c r="B20" s="5">
        <v>1663.3</v>
      </c>
      <c r="C20" s="16">
        <f t="shared" si="0"/>
        <v>2690.1594989421073</v>
      </c>
      <c r="D20" s="17">
        <f t="shared" si="1"/>
        <v>1054440.4305676359</v>
      </c>
      <c r="E20" s="21">
        <f t="shared" si="2"/>
        <v>1110.9885657944512</v>
      </c>
      <c r="F20" s="18">
        <f t="shared" si="3"/>
        <v>305047.92035419017</v>
      </c>
      <c r="H20">
        <f t="shared" si="4"/>
        <v>8824.6619000000046</v>
      </c>
    </row>
    <row r="21" spans="1:8" x14ac:dyDescent="0.25">
      <c r="A21" s="5">
        <v>36.78</v>
      </c>
      <c r="B21" s="5">
        <v>1348.53</v>
      </c>
      <c r="C21" s="16">
        <f t="shared" si="0"/>
        <v>2349.5075097491358</v>
      </c>
      <c r="D21" s="17">
        <f t="shared" si="1"/>
        <v>1001955.9750235813</v>
      </c>
      <c r="E21" s="21">
        <f t="shared" si="2"/>
        <v>970.2521617779388</v>
      </c>
      <c r="F21" s="18">
        <f t="shared" si="3"/>
        <v>143094.12288995588</v>
      </c>
      <c r="H21">
        <f t="shared" si="4"/>
        <v>12450.546250000001</v>
      </c>
    </row>
    <row r="22" spans="1:8" x14ac:dyDescent="0.25">
      <c r="A22" s="5">
        <v>46.03</v>
      </c>
      <c r="B22" s="5">
        <v>1343.48</v>
      </c>
      <c r="C22" s="16">
        <f t="shared" si="0"/>
        <v>1897.4015695761002</v>
      </c>
      <c r="D22" s="17">
        <f t="shared" si="1"/>
        <v>306829.10524165042</v>
      </c>
      <c r="E22" s="21">
        <f t="shared" si="2"/>
        <v>783.54337684202426</v>
      </c>
      <c r="F22" s="18">
        <f t="shared" si="3"/>
        <v>313529.02195355698</v>
      </c>
      <c r="H22">
        <f t="shared" si="4"/>
        <v>2371.3201999999969</v>
      </c>
    </row>
    <row r="23" spans="1:8" x14ac:dyDescent="0.25">
      <c r="A23" s="5">
        <v>47.97</v>
      </c>
      <c r="B23" s="5">
        <v>1101.18</v>
      </c>
      <c r="C23" s="16">
        <f t="shared" si="0"/>
        <v>1814.2312740406876</v>
      </c>
      <c r="D23" s="17">
        <f t="shared" si="1"/>
        <v>508442.11941104766</v>
      </c>
      <c r="E23" s="21">
        <f t="shared" si="2"/>
        <v>749.19753402070307</v>
      </c>
      <c r="F23" s="18">
        <f t="shared" si="3"/>
        <v>123891.65635686697</v>
      </c>
      <c r="H23">
        <f t="shared" si="4"/>
        <v>2606.2101499999962</v>
      </c>
    </row>
    <row r="24" spans="1:8" x14ac:dyDescent="0.25">
      <c r="A24" s="5">
        <v>50.379999999999995</v>
      </c>
      <c r="B24" s="5">
        <v>1061.6500000000001</v>
      </c>
      <c r="C24" s="16">
        <f t="shared" si="0"/>
        <v>1715.9708504766654</v>
      </c>
      <c r="D24" s="17">
        <f t="shared" si="1"/>
        <v>428135.77536850661</v>
      </c>
      <c r="E24" s="21">
        <f t="shared" si="2"/>
        <v>708.62021149278019</v>
      </c>
      <c r="F24" s="18">
        <f t="shared" si="3"/>
        <v>124630.03157345242</v>
      </c>
      <c r="H24">
        <f t="shared" si="4"/>
        <v>3864.910950000005</v>
      </c>
    </row>
    <row r="25" spans="1:8" x14ac:dyDescent="0.25">
      <c r="A25" s="5">
        <v>54.25</v>
      </c>
      <c r="B25" s="5">
        <v>935.72</v>
      </c>
      <c r="C25" s="16">
        <f t="shared" si="0"/>
        <v>1569.1954373603658</v>
      </c>
      <c r="D25" s="17">
        <f t="shared" si="1"/>
        <v>401291.12973890663</v>
      </c>
      <c r="E25" s="21">
        <f t="shared" si="2"/>
        <v>648.00839008897071</v>
      </c>
      <c r="F25" s="18">
        <f t="shared" si="3"/>
        <v>82777.970477596304</v>
      </c>
      <c r="H25">
        <f t="shared" si="4"/>
        <v>3091.6042999999977</v>
      </c>
    </row>
    <row r="26" spans="1:8" x14ac:dyDescent="0.25">
      <c r="A26" s="5">
        <v>57.62</v>
      </c>
      <c r="B26" s="5">
        <v>899.06</v>
      </c>
      <c r="C26" s="16">
        <f t="shared" si="0"/>
        <v>1451.6480459794623</v>
      </c>
      <c r="D26" s="17">
        <f t="shared" si="1"/>
        <v>305353.54855940037</v>
      </c>
      <c r="E26" s="21">
        <f t="shared" si="2"/>
        <v>599.46649704265906</v>
      </c>
      <c r="F26" s="18">
        <f t="shared" si="3"/>
        <v>89756.267014250217</v>
      </c>
      <c r="H26">
        <f t="shared" si="4"/>
        <v>1426.1973000000032</v>
      </c>
    </row>
    <row r="27" spans="1:8" x14ac:dyDescent="0.25">
      <c r="A27" s="5">
        <v>59.28</v>
      </c>
      <c r="B27" s="5">
        <v>819.25</v>
      </c>
      <c r="C27" s="16">
        <f t="shared" si="0"/>
        <v>1397.0255236729988</v>
      </c>
      <c r="D27" s="17">
        <f t="shared" si="1"/>
        <v>333824.55575560802</v>
      </c>
      <c r="E27" s="21">
        <f t="shared" si="2"/>
        <v>576.90980626868077</v>
      </c>
      <c r="F27" s="18">
        <f t="shared" si="3"/>
        <v>58728.769497733338</v>
      </c>
      <c r="H27">
        <f t="shared" si="4"/>
        <v>7861.5074999999988</v>
      </c>
    </row>
    <row r="28" spans="1:8" x14ac:dyDescent="0.25">
      <c r="A28" s="5">
        <v>69.78</v>
      </c>
      <c r="B28" s="5">
        <v>678.18</v>
      </c>
      <c r="C28" s="16">
        <f t="shared" si="0"/>
        <v>1096.0840102297157</v>
      </c>
      <c r="D28" s="17">
        <f t="shared" si="1"/>
        <v>174643.76176607833</v>
      </c>
      <c r="E28" s="21">
        <f t="shared" si="2"/>
        <v>452.63425699477551</v>
      </c>
      <c r="F28" s="18">
        <f t="shared" si="3"/>
        <v>50870.882187778749</v>
      </c>
      <c r="H28">
        <f t="shared" si="4"/>
        <v>2954.1374999999998</v>
      </c>
    </row>
    <row r="29" spans="1:8" x14ac:dyDescent="0.25">
      <c r="A29" s="5">
        <v>74.28</v>
      </c>
      <c r="B29" s="5">
        <v>634.77</v>
      </c>
      <c r="C29" s="16">
        <f t="shared" si="0"/>
        <v>987.84622127986529</v>
      </c>
      <c r="D29" s="17">
        <f t="shared" si="1"/>
        <v>124662.81803326841</v>
      </c>
      <c r="E29" s="21">
        <f t="shared" si="2"/>
        <v>407.93683344002341</v>
      </c>
      <c r="F29" s="18">
        <f t="shared" si="3"/>
        <v>51453.285451626078</v>
      </c>
      <c r="H29">
        <f t="shared" si="4"/>
        <v>4020.0224999999996</v>
      </c>
    </row>
    <row r="30" spans="1:8" x14ac:dyDescent="0.25">
      <c r="A30" s="5">
        <v>80.78</v>
      </c>
      <c r="B30" s="5">
        <v>602.16</v>
      </c>
      <c r="C30" s="16">
        <f t="shared" si="0"/>
        <v>850.09248549876838</v>
      </c>
      <c r="D30" s="17">
        <f t="shared" si="1"/>
        <v>61470.517365597014</v>
      </c>
      <c r="E30" s="21">
        <f t="shared" si="2"/>
        <v>351.05062830561934</v>
      </c>
      <c r="F30" s="18">
        <f t="shared" si="3"/>
        <v>63055.916552746603</v>
      </c>
      <c r="H30">
        <f t="shared" si="4"/>
        <v>2385.6570000000006</v>
      </c>
    </row>
    <row r="31" spans="1:8" ht="14.45" x14ac:dyDescent="0.35">
      <c r="A31" s="5">
        <v>84.95</v>
      </c>
      <c r="B31" s="5">
        <v>542.04</v>
      </c>
      <c r="C31" s="16">
        <f t="shared" si="0"/>
        <v>772.01014562265198</v>
      </c>
      <c r="D31" s="17">
        <f t="shared" si="1"/>
        <v>52886.267877703773</v>
      </c>
      <c r="E31" s="21">
        <f t="shared" si="2"/>
        <v>318.80607263438412</v>
      </c>
      <c r="F31" s="18">
        <f t="shared" si="3"/>
        <v>49833.386327077053</v>
      </c>
      <c r="H31">
        <f t="shared" si="4"/>
        <v>4431.6271500000012</v>
      </c>
    </row>
    <row r="32" spans="1:8" ht="14.45" x14ac:dyDescent="0.35">
      <c r="A32" s="5">
        <v>93.62</v>
      </c>
      <c r="B32" s="5">
        <v>480.25</v>
      </c>
      <c r="C32" s="16">
        <f t="shared" si="0"/>
        <v>631.86651206756926</v>
      </c>
      <c r="D32" s="17">
        <f t="shared" si="1"/>
        <v>22987.566731535375</v>
      </c>
      <c r="E32" s="21">
        <f t="shared" si="2"/>
        <v>260.93294535483693</v>
      </c>
      <c r="F32" s="18">
        <f t="shared" si="3"/>
        <v>48099.970458229443</v>
      </c>
      <c r="H32">
        <f t="shared" si="4"/>
        <v>2549.0092999999983</v>
      </c>
    </row>
    <row r="33" spans="1:17" x14ac:dyDescent="0.25">
      <c r="A33" s="5">
        <v>99.28</v>
      </c>
      <c r="B33" s="5">
        <v>420.46</v>
      </c>
      <c r="C33" s="16">
        <f t="shared" si="0"/>
        <v>554.40994647623575</v>
      </c>
      <c r="D33" s="17">
        <f t="shared" si="1"/>
        <v>17942.588160986426</v>
      </c>
      <c r="E33" s="21">
        <f t="shared" si="2"/>
        <v>228.94680681001137</v>
      </c>
      <c r="F33" s="18">
        <f t="shared" si="3"/>
        <v>36677.303165825899</v>
      </c>
      <c r="H33">
        <f t="shared" si="4"/>
        <v>2083.8999999999996</v>
      </c>
    </row>
    <row r="34" spans="1:17" x14ac:dyDescent="0.25">
      <c r="A34" s="5">
        <v>104.28</v>
      </c>
      <c r="B34" s="5">
        <v>413.1</v>
      </c>
      <c r="C34" s="16">
        <f t="shared" si="0"/>
        <v>493.92311063993259</v>
      </c>
      <c r="D34" s="17">
        <f t="shared" si="1"/>
        <v>6532.3752135147806</v>
      </c>
      <c r="E34" s="21">
        <f t="shared" si="2"/>
        <v>203.96841670936044</v>
      </c>
      <c r="F34" s="18">
        <f t="shared" si="3"/>
        <v>43736.019129649721</v>
      </c>
      <c r="H34">
        <f t="shared" si="4"/>
        <v>2004.5802000000008</v>
      </c>
    </row>
    <row r="35" spans="1:17" x14ac:dyDescent="0.25">
      <c r="A35" s="5">
        <v>109.2</v>
      </c>
      <c r="B35" s="5">
        <v>401.77</v>
      </c>
      <c r="C35" s="16">
        <f t="shared" si="0"/>
        <v>440.84957654218374</v>
      </c>
      <c r="D35" s="17">
        <f t="shared" si="1"/>
        <v>1527.2133027163991</v>
      </c>
      <c r="E35" s="21">
        <f t="shared" si="2"/>
        <v>182.05139261007727</v>
      </c>
      <c r="F35" s="18">
        <f t="shared" si="3"/>
        <v>48276.266433366996</v>
      </c>
      <c r="H35">
        <f t="shared" si="4"/>
        <v>4568.3267500000029</v>
      </c>
    </row>
    <row r="36" spans="1:17" ht="15.75" thickBot="1" x14ac:dyDescent="0.3">
      <c r="A36" s="5">
        <v>121.55000000000001</v>
      </c>
      <c r="B36" s="5">
        <v>338.04</v>
      </c>
      <c r="C36" s="16">
        <f t="shared" si="0"/>
        <v>331.41061380544284</v>
      </c>
      <c r="D36" s="17">
        <f t="shared" si="1"/>
        <v>43.94876131658539</v>
      </c>
      <c r="E36" s="21">
        <f t="shared" si="2"/>
        <v>136.85793744494649</v>
      </c>
      <c r="F36" s="18">
        <f t="shared" si="3"/>
        <v>40474.22229390547</v>
      </c>
      <c r="G36" t="s">
        <v>20</v>
      </c>
      <c r="H36" s="51">
        <f>1.44*$B$36*H3</f>
        <v>93704.687999999995</v>
      </c>
    </row>
    <row r="37" spans="1:17" ht="31.5" thickTop="1" thickBot="1" x14ac:dyDescent="0.3">
      <c r="D37" s="34" t="s">
        <v>19</v>
      </c>
      <c r="F37" s="34" t="s">
        <v>19</v>
      </c>
    </row>
    <row r="38" spans="1:17" ht="15.75" thickTop="1" x14ac:dyDescent="0.25">
      <c r="D38" s="50">
        <f>SUM(D11:D36)</f>
        <v>10967853.53618094</v>
      </c>
      <c r="F38" s="50">
        <f>SUM(F11:F36)</f>
        <v>15187376.122160127</v>
      </c>
      <c r="Q38" s="24">
        <f>MIN($F$38)</f>
        <v>15187376.122160127</v>
      </c>
    </row>
    <row r="39" spans="1:17" x14ac:dyDescent="0.25">
      <c r="Q39" s="24">
        <f>COUNT($F$5,$E$7,$F$7)</f>
        <v>3</v>
      </c>
    </row>
    <row r="40" spans="1:17" x14ac:dyDescent="0.25">
      <c r="C40" s="7" t="s">
        <v>51</v>
      </c>
      <c r="E40" s="6" t="s">
        <v>54</v>
      </c>
      <c r="H40" s="4" t="s">
        <v>55</v>
      </c>
      <c r="Q40" s="24" t="b">
        <f>$E$7&lt;=$H$3</f>
        <v>1</v>
      </c>
    </row>
    <row r="41" spans="1:17" x14ac:dyDescent="0.25">
      <c r="C41" s="23">
        <f>1.443*D5*C5</f>
        <v>237917.94389999998</v>
      </c>
      <c r="E41" s="23">
        <f>(($E$5*$F$7)/(LN(2)/$F$5))+(($E$5*(1-$F$7))/(LN(2)/($E$7)))</f>
        <v>107538.08809555139</v>
      </c>
      <c r="H41" s="23">
        <f>SUM(H11:H36)</f>
        <v>256939.85470000003</v>
      </c>
      <c r="Q41" s="24" t="b">
        <f>$F$5&lt;=$E$7</f>
        <v>1</v>
      </c>
    </row>
    <row r="42" spans="1:17" x14ac:dyDescent="0.25">
      <c r="Q42" s="24" t="b">
        <f>$F$7&lt;=1</f>
        <v>1</v>
      </c>
    </row>
    <row r="43" spans="1:17" x14ac:dyDescent="0.25">
      <c r="A43" s="27" t="s">
        <v>47</v>
      </c>
      <c r="B43" s="52">
        <v>80</v>
      </c>
      <c r="C43" s="27" t="s">
        <v>52</v>
      </c>
      <c r="D43" s="27">
        <f>0.000134*(B43^(-0.921))</f>
        <v>2.3678758073270261E-6</v>
      </c>
      <c r="Q43" s="24" t="b">
        <f>$F$7&gt;=0</f>
        <v>1</v>
      </c>
    </row>
    <row r="44" spans="1:17" x14ac:dyDescent="0.25">
      <c r="Q44" s="24">
        <f>{32767,32767,0.000001,0.01,FALSE,FALSE,FALSE,1,2,1,0.0001,TRUE}</f>
        <v>32767</v>
      </c>
    </row>
    <row r="45" spans="1:17" x14ac:dyDescent="0.25">
      <c r="C45" s="28" t="s">
        <v>49</v>
      </c>
      <c r="E45" s="30" t="s">
        <v>48</v>
      </c>
      <c r="F45" s="29"/>
      <c r="G45" s="29"/>
      <c r="H45" s="31" t="s">
        <v>50</v>
      </c>
      <c r="Q45" s="24">
        <f>{0,0,1,100,0,FALSE,FALSE,0.075,0,0,FALSE,30}</f>
        <v>0</v>
      </c>
    </row>
    <row r="46" spans="1:17" x14ac:dyDescent="0.25">
      <c r="C46" s="26">
        <f>C41*D43</f>
        <v>0.56336014348979857</v>
      </c>
      <c r="E46" s="25">
        <f>E41*D43</f>
        <v>0.25463683716765861</v>
      </c>
      <c r="H46" s="25">
        <f>H41*D43</f>
        <v>0.60840166588225131</v>
      </c>
    </row>
  </sheetData>
  <mergeCells count="6">
    <mergeCell ref="A2:C2"/>
    <mergeCell ref="A9:B9"/>
    <mergeCell ref="C9:D9"/>
    <mergeCell ref="E9:F9"/>
    <mergeCell ref="C3:D3"/>
    <mergeCell ref="E3:F3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38"/>
  <sheetViews>
    <sheetView workbookViewId="0">
      <selection activeCell="F7" sqref="F7"/>
    </sheetView>
  </sheetViews>
  <sheetFormatPr defaultRowHeight="15" x14ac:dyDescent="0.25"/>
  <cols>
    <col min="2" max="2" width="12.7109375" customWidth="1"/>
    <col min="3" max="3" width="20.42578125" customWidth="1"/>
    <col min="4" max="4" width="20" customWidth="1"/>
    <col min="5" max="5" width="25.28515625" customWidth="1"/>
    <col min="6" max="6" width="23.28515625" customWidth="1"/>
    <col min="7" max="7" width="12.42578125" customWidth="1"/>
    <col min="8" max="8" width="20.5703125" customWidth="1"/>
  </cols>
  <sheetData>
    <row r="1" spans="1:8" x14ac:dyDescent="0.25">
      <c r="A1" s="29" t="s">
        <v>65</v>
      </c>
    </row>
    <row r="2" spans="1:8" x14ac:dyDescent="0.25">
      <c r="A2" s="65" t="s">
        <v>22</v>
      </c>
      <c r="B2" s="65"/>
      <c r="C2" s="65"/>
      <c r="H2" s="8" t="s">
        <v>21</v>
      </c>
    </row>
    <row r="3" spans="1:8" ht="15.75" thickBot="1" x14ac:dyDescent="0.3">
      <c r="C3" s="72" t="s">
        <v>6</v>
      </c>
      <c r="D3" s="72"/>
      <c r="E3" s="73" t="s">
        <v>10</v>
      </c>
      <c r="F3" s="73"/>
      <c r="H3">
        <v>192.5</v>
      </c>
    </row>
    <row r="4" spans="1:8" ht="16.5" thickTop="1" thickBot="1" x14ac:dyDescent="0.3">
      <c r="C4" s="1" t="s">
        <v>7</v>
      </c>
      <c r="D4" s="1" t="s">
        <v>8</v>
      </c>
      <c r="E4" s="1" t="s">
        <v>7</v>
      </c>
      <c r="F4" s="1" t="s">
        <v>11</v>
      </c>
    </row>
    <row r="5" spans="1:8" ht="16.5" thickTop="1" thickBot="1" x14ac:dyDescent="0.3">
      <c r="C5">
        <f>B11</f>
        <v>3816.18</v>
      </c>
      <c r="D5" s="33">
        <v>30</v>
      </c>
      <c r="E5">
        <f>B11</f>
        <v>3816.18</v>
      </c>
      <c r="F5" s="22">
        <v>0.5</v>
      </c>
    </row>
    <row r="6" spans="1:8" ht="16.5" thickTop="1" thickBot="1" x14ac:dyDescent="0.3">
      <c r="E6" s="1" t="s">
        <v>12</v>
      </c>
      <c r="F6" s="1" t="s">
        <v>13</v>
      </c>
    </row>
    <row r="7" spans="1:8" ht="15.75" thickTop="1" x14ac:dyDescent="0.25">
      <c r="E7" s="22">
        <v>30</v>
      </c>
      <c r="F7" s="22">
        <v>0</v>
      </c>
    </row>
    <row r="9" spans="1:8" ht="15.75" thickBot="1" x14ac:dyDescent="0.3">
      <c r="A9" s="66" t="s">
        <v>4</v>
      </c>
      <c r="B9" s="67"/>
      <c r="C9" s="68" t="s">
        <v>9</v>
      </c>
      <c r="D9" s="69"/>
      <c r="E9" s="70" t="s">
        <v>14</v>
      </c>
      <c r="F9" s="71"/>
      <c r="H9" s="4" t="s">
        <v>5</v>
      </c>
    </row>
    <row r="10" spans="1:8" ht="31.5" thickTop="1" thickBot="1" x14ac:dyDescent="0.3">
      <c r="A10" s="1" t="s">
        <v>0</v>
      </c>
      <c r="B10" s="2" t="s">
        <v>1</v>
      </c>
      <c r="C10" s="2" t="s">
        <v>2</v>
      </c>
      <c r="D10" s="2" t="s">
        <v>3</v>
      </c>
      <c r="E10" s="19" t="s">
        <v>2</v>
      </c>
      <c r="F10" s="19" t="s">
        <v>3</v>
      </c>
      <c r="H10" s="1" t="s">
        <v>15</v>
      </c>
    </row>
    <row r="11" spans="1:8" ht="15.75" thickTop="1" x14ac:dyDescent="0.25">
      <c r="A11" s="5">
        <v>0</v>
      </c>
      <c r="B11" s="5">
        <v>3816.18</v>
      </c>
      <c r="C11" s="35">
        <f>$C$5*EXP((-1)*(LN(2)/$D$5)*($A11-$A$11))</f>
        <v>3816.18</v>
      </c>
      <c r="D11" s="36">
        <f>(B11-C11)^2</f>
        <v>0</v>
      </c>
      <c r="E11" s="37">
        <f>$E$5*(($F$7)*(EXP((-1)*(LN(2)/$F$5)*($A11-$A$11)))+((1-$F$7)*(EXP((-1)*(LN(2)/$E$7)*($A11-$A$11)))))</f>
        <v>3816.18</v>
      </c>
      <c r="F11" s="39">
        <f>(B11-E11)^2</f>
        <v>0</v>
      </c>
      <c r="H11">
        <f>0.5*($B11+$B12)*($A12-$A11)</f>
        <v>9384.3945000000003</v>
      </c>
    </row>
    <row r="12" spans="1:8" x14ac:dyDescent="0.25">
      <c r="A12" s="5">
        <v>2.4700000000000002</v>
      </c>
      <c r="B12" s="5">
        <v>3782.52</v>
      </c>
      <c r="C12" s="35">
        <f t="shared" ref="C12:C25" si="0">$C$5*EXP((-1)*(LN(2)/$D$5)*($A12-$A$11))</f>
        <v>3604.4918522398989</v>
      </c>
      <c r="D12" s="36">
        <f t="shared" ref="D12:D25" si="1">(B12-C12)^2</f>
        <v>31694.021394892388</v>
      </c>
      <c r="E12" s="37">
        <f t="shared" ref="E12:E25" si="2">$E$5*(($F$7)*(EXP((-1)*(LN(2)/$F$5)*($A12-$A$11)))+((1-$F$7)*(EXP((-1)*(LN(2)/$E$7)*($A12-$A$11)))))</f>
        <v>3604.4918522398989</v>
      </c>
      <c r="F12" s="39">
        <f t="shared" ref="F12:F25" si="3">(B12-E12)^2</f>
        <v>31694.021394892388</v>
      </c>
      <c r="H12">
        <f t="shared" ref="H12:H24" si="4">0.5*($B12+$B13)*($A13-$A12)</f>
        <v>9401.707699999999</v>
      </c>
    </row>
    <row r="13" spans="1:8" x14ac:dyDescent="0.25">
      <c r="A13" s="5">
        <v>5</v>
      </c>
      <c r="B13" s="5">
        <v>3649.66</v>
      </c>
      <c r="C13" s="35">
        <f t="shared" si="0"/>
        <v>3399.8298701927997</v>
      </c>
      <c r="D13" s="36">
        <f t="shared" si="1"/>
        <v>62415.093759482472</v>
      </c>
      <c r="E13" s="37">
        <f t="shared" si="2"/>
        <v>3399.8298701927997</v>
      </c>
      <c r="F13" s="39">
        <f t="shared" si="3"/>
        <v>62415.093759482472</v>
      </c>
      <c r="H13">
        <f t="shared" si="4"/>
        <v>7654.6967000000004</v>
      </c>
    </row>
    <row r="14" spans="1:8" x14ac:dyDescent="0.25">
      <c r="A14" s="5">
        <v>7.17</v>
      </c>
      <c r="B14" s="5">
        <v>3405.36</v>
      </c>
      <c r="C14" s="35">
        <f t="shared" si="0"/>
        <v>3233.5730915926779</v>
      </c>
      <c r="D14" s="36">
        <f t="shared" si="1"/>
        <v>29510.74190014572</v>
      </c>
      <c r="E14" s="37">
        <f t="shared" si="2"/>
        <v>3233.5730915926779</v>
      </c>
      <c r="F14" s="39">
        <f t="shared" si="3"/>
        <v>29510.74190014572</v>
      </c>
      <c r="H14">
        <f t="shared" si="4"/>
        <v>31031.939800000004</v>
      </c>
    </row>
    <row r="15" spans="1:8" x14ac:dyDescent="0.25">
      <c r="A15" s="5">
        <v>17.5</v>
      </c>
      <c r="B15" s="5">
        <v>2602.7600000000002</v>
      </c>
      <c r="C15" s="35">
        <f t="shared" si="0"/>
        <v>2546.994577343301</v>
      </c>
      <c r="D15" s="36">
        <f t="shared" si="1"/>
        <v>3109.7823640803035</v>
      </c>
      <c r="E15" s="37">
        <f t="shared" si="2"/>
        <v>2546.994577343301</v>
      </c>
      <c r="F15" s="39">
        <f t="shared" si="3"/>
        <v>3109.7823640803035</v>
      </c>
      <c r="H15">
        <f t="shared" si="4"/>
        <v>5054.9489999999987</v>
      </c>
    </row>
    <row r="16" spans="1:8" x14ac:dyDescent="0.25">
      <c r="A16" s="5">
        <v>19.52</v>
      </c>
      <c r="B16" s="5">
        <v>2402.14</v>
      </c>
      <c r="C16" s="35">
        <f t="shared" si="0"/>
        <v>2430.8528352798598</v>
      </c>
      <c r="D16" s="36">
        <f t="shared" si="1"/>
        <v>824.42690980837153</v>
      </c>
      <c r="E16" s="37">
        <f t="shared" si="2"/>
        <v>2430.8528352798598</v>
      </c>
      <c r="F16" s="39">
        <f t="shared" si="3"/>
        <v>824.42690980837153</v>
      </c>
      <c r="H16">
        <f t="shared" si="4"/>
        <v>9269.7506000000012</v>
      </c>
    </row>
    <row r="17" spans="1:8" x14ac:dyDescent="0.25">
      <c r="A17" s="5">
        <v>23.59</v>
      </c>
      <c r="B17" s="5">
        <v>2153.02</v>
      </c>
      <c r="C17" s="35">
        <f t="shared" si="0"/>
        <v>2212.6816346880073</v>
      </c>
      <c r="D17" s="36">
        <f t="shared" si="1"/>
        <v>3559.510653645239</v>
      </c>
      <c r="E17" s="37">
        <f t="shared" si="2"/>
        <v>2212.6816346880073</v>
      </c>
      <c r="F17" s="39">
        <f t="shared" si="3"/>
        <v>3559.510653645239</v>
      </c>
      <c r="H17">
        <f t="shared" si="4"/>
        <v>5882.5756499999989</v>
      </c>
    </row>
    <row r="18" spans="1:8" x14ac:dyDescent="0.25">
      <c r="A18" s="5">
        <v>26.52</v>
      </c>
      <c r="B18" s="5">
        <v>1862.39</v>
      </c>
      <c r="C18" s="35">
        <f t="shared" si="0"/>
        <v>2067.8466800768565</v>
      </c>
      <c r="D18" s="36">
        <f t="shared" si="1"/>
        <v>42212.44738820372</v>
      </c>
      <c r="E18" s="37">
        <f t="shared" si="2"/>
        <v>2067.8466800768565</v>
      </c>
      <c r="F18" s="39">
        <f t="shared" si="3"/>
        <v>42212.44738820372</v>
      </c>
      <c r="H18">
        <f t="shared" si="4"/>
        <v>8551.9332000000013</v>
      </c>
    </row>
    <row r="19" spans="1:8" x14ac:dyDescent="0.25">
      <c r="A19" s="5">
        <v>31.34</v>
      </c>
      <c r="B19" s="5">
        <v>1686.13</v>
      </c>
      <c r="C19" s="35">
        <f t="shared" si="0"/>
        <v>1849.9195796019724</v>
      </c>
      <c r="D19" s="36">
        <f t="shared" si="1"/>
        <v>26827.02638619081</v>
      </c>
      <c r="E19" s="37">
        <f t="shared" si="2"/>
        <v>1849.9195796019724</v>
      </c>
      <c r="F19" s="39">
        <f t="shared" si="3"/>
        <v>26827.02638619081</v>
      </c>
      <c r="H19">
        <f t="shared" si="4"/>
        <v>13669.499700000004</v>
      </c>
    </row>
    <row r="20" spans="1:8" x14ac:dyDescent="0.25">
      <c r="A20" s="5">
        <v>41.17</v>
      </c>
      <c r="B20" s="5">
        <v>1095.05</v>
      </c>
      <c r="C20" s="35">
        <f t="shared" si="0"/>
        <v>1474.0606530008813</v>
      </c>
      <c r="D20" s="36">
        <f t="shared" si="1"/>
        <v>143649.0750881545</v>
      </c>
      <c r="E20" s="37">
        <f t="shared" si="2"/>
        <v>1474.0606530008813</v>
      </c>
      <c r="F20" s="39">
        <f t="shared" si="3"/>
        <v>143649.0750881545</v>
      </c>
      <c r="H20">
        <f t="shared" si="4"/>
        <v>2235.5549999999939</v>
      </c>
    </row>
    <row r="21" spans="1:8" x14ac:dyDescent="0.25">
      <c r="A21" s="5">
        <v>43.269999999999996</v>
      </c>
      <c r="B21" s="5">
        <v>1034.05</v>
      </c>
      <c r="C21" s="35">
        <f t="shared" si="0"/>
        <v>1404.2461894700991</v>
      </c>
      <c r="D21" s="36">
        <f t="shared" si="1"/>
        <v>137045.21869818156</v>
      </c>
      <c r="E21" s="37">
        <f t="shared" si="2"/>
        <v>1404.2461894700991</v>
      </c>
      <c r="F21" s="39">
        <f t="shared" si="3"/>
        <v>137045.21869818156</v>
      </c>
      <c r="H21">
        <f t="shared" si="4"/>
        <v>4172.8606499999996</v>
      </c>
    </row>
    <row r="22" spans="1:8" x14ac:dyDescent="0.25">
      <c r="A22" s="5">
        <v>47.699999999999996</v>
      </c>
      <c r="B22" s="5">
        <v>849.86</v>
      </c>
      <c r="C22" s="35">
        <f t="shared" si="0"/>
        <v>1267.6260575097065</v>
      </c>
      <c r="D22" s="36">
        <f t="shared" si="1"/>
        <v>174528.47880720336</v>
      </c>
      <c r="E22" s="37">
        <f t="shared" si="2"/>
        <v>1267.6260575097065</v>
      </c>
      <c r="F22" s="39">
        <f t="shared" si="3"/>
        <v>174528.47880720336</v>
      </c>
      <c r="H22">
        <f t="shared" si="4"/>
        <v>2083.0320000000024</v>
      </c>
    </row>
    <row r="23" spans="1:8" x14ac:dyDescent="0.25">
      <c r="A23" s="5">
        <v>50.22</v>
      </c>
      <c r="B23" s="5">
        <v>803.34</v>
      </c>
      <c r="C23" s="35">
        <f t="shared" si="0"/>
        <v>1195.9269104863388</v>
      </c>
      <c r="D23" s="36">
        <f t="shared" si="1"/>
        <v>154124.48228520856</v>
      </c>
      <c r="E23" s="37">
        <f t="shared" si="2"/>
        <v>1195.9269104863388</v>
      </c>
      <c r="F23" s="39">
        <f t="shared" si="3"/>
        <v>154124.48228520856</v>
      </c>
      <c r="H23">
        <f t="shared" si="4"/>
        <v>3956.8320000000012</v>
      </c>
    </row>
    <row r="24" spans="1:8" x14ac:dyDescent="0.25">
      <c r="A24" s="5">
        <v>55.5</v>
      </c>
      <c r="B24" s="5">
        <v>695.46</v>
      </c>
      <c r="C24" s="35">
        <f t="shared" si="0"/>
        <v>1058.5792069789672</v>
      </c>
      <c r="D24" s="36">
        <f t="shared" si="1"/>
        <v>131855.55847703404</v>
      </c>
      <c r="E24" s="37">
        <f t="shared" si="2"/>
        <v>1058.5792069789672</v>
      </c>
      <c r="F24" s="39">
        <f t="shared" si="3"/>
        <v>131855.55847703404</v>
      </c>
      <c r="H24">
        <f t="shared" si="4"/>
        <v>6910.2719999999981</v>
      </c>
    </row>
    <row r="25" spans="1:8" x14ac:dyDescent="0.25">
      <c r="A25" s="5">
        <v>67.02</v>
      </c>
      <c r="B25" s="5">
        <v>504.24</v>
      </c>
      <c r="C25" s="35">
        <f t="shared" si="0"/>
        <v>811.19981103844589</v>
      </c>
      <c r="D25" s="36">
        <f t="shared" si="1"/>
        <v>94224.325592758396</v>
      </c>
      <c r="E25" s="37">
        <f t="shared" si="2"/>
        <v>811.19981103844589</v>
      </c>
      <c r="F25" s="39">
        <f t="shared" si="3"/>
        <v>94224.325592758396</v>
      </c>
      <c r="G25" t="s">
        <v>20</v>
      </c>
      <c r="H25" s="63">
        <f>1.44*$B$25*$D$5</f>
        <v>21783.167999999998</v>
      </c>
    </row>
    <row r="28" spans="1:8" ht="15.75" thickBot="1" x14ac:dyDescent="0.3"/>
    <row r="29" spans="1:8" ht="31.5" thickTop="1" thickBot="1" x14ac:dyDescent="0.3">
      <c r="D29" s="34" t="s">
        <v>19</v>
      </c>
      <c r="F29" s="34" t="s">
        <v>19</v>
      </c>
    </row>
    <row r="30" spans="1:8" ht="15.75" thickTop="1" x14ac:dyDescent="0.25">
      <c r="D30" s="50">
        <f>SUM(D11:D25)</f>
        <v>1035580.1897049893</v>
      </c>
      <c r="F30" s="50">
        <f>SUM(F11:F25)</f>
        <v>1035580.1897049893</v>
      </c>
    </row>
    <row r="32" spans="1:8" x14ac:dyDescent="0.25">
      <c r="C32" s="7" t="s">
        <v>18</v>
      </c>
      <c r="E32" s="6" t="s">
        <v>17</v>
      </c>
      <c r="H32" s="4" t="s">
        <v>16</v>
      </c>
    </row>
    <row r="33" spans="1:17" x14ac:dyDescent="0.25">
      <c r="C33" s="3">
        <f>1.443*D5*C5</f>
        <v>165202.43219999998</v>
      </c>
      <c r="E33" s="3">
        <f>(($E$5*$F$7)/(LN(2)/$F$5))+(($E$5*(1-$F$7))/(LN(2)/($E$7)))</f>
        <v>165167.51883418934</v>
      </c>
      <c r="H33" s="3">
        <f>SUM(H11:H25)</f>
        <v>141043.16649999999</v>
      </c>
    </row>
    <row r="35" spans="1:17" x14ac:dyDescent="0.25">
      <c r="A35" s="27" t="s">
        <v>47</v>
      </c>
      <c r="B35" s="52">
        <v>80</v>
      </c>
      <c r="C35" s="27" t="s">
        <v>52</v>
      </c>
      <c r="D35" s="27">
        <f>0.000134*(B35^(-0.921))</f>
        <v>2.3678758073270261E-6</v>
      </c>
      <c r="Q35" s="24" t="b">
        <f>$F$7&gt;=0</f>
        <v>1</v>
      </c>
    </row>
    <row r="36" spans="1:17" x14ac:dyDescent="0.25">
      <c r="Q36" s="24">
        <f>{32767,32767,0.000001,0.01,FALSE,FALSE,FALSE,1,2,1,0.0001,TRUE}</f>
        <v>32767</v>
      </c>
    </row>
    <row r="37" spans="1:17" x14ac:dyDescent="0.25">
      <c r="C37" s="28" t="s">
        <v>49</v>
      </c>
      <c r="E37" s="30" t="s">
        <v>48</v>
      </c>
      <c r="F37" s="29"/>
      <c r="G37" s="29"/>
      <c r="H37" s="31" t="s">
        <v>50</v>
      </c>
      <c r="Q37" s="24">
        <f>{0,0,1,100,0,FALSE,FALSE,0.075,0,0,FALSE,30}</f>
        <v>0</v>
      </c>
    </row>
    <row r="38" spans="1:17" x14ac:dyDescent="0.25">
      <c r="C38" s="26">
        <f>C33*D35</f>
        <v>0.39117884251796325</v>
      </c>
      <c r="E38" s="25">
        <f>E33*D35</f>
        <v>0.39109617200370789</v>
      </c>
      <c r="H38" s="25">
        <f>H33*D35</f>
        <v>0.33397270174414767</v>
      </c>
    </row>
  </sheetData>
  <mergeCells count="6">
    <mergeCell ref="A2:C2"/>
    <mergeCell ref="C3:D3"/>
    <mergeCell ref="E3:F3"/>
    <mergeCell ref="A9:B9"/>
    <mergeCell ref="C9:D9"/>
    <mergeCell ref="E9:F9"/>
  </mergeCells>
  <phoneticPr fontId="9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38"/>
  <sheetViews>
    <sheetView workbookViewId="0">
      <selection activeCell="A35" sqref="A35:H38"/>
    </sheetView>
  </sheetViews>
  <sheetFormatPr defaultRowHeight="15" x14ac:dyDescent="0.25"/>
  <cols>
    <col min="2" max="2" width="12.7109375" customWidth="1"/>
    <col min="3" max="3" width="20.42578125" customWidth="1"/>
    <col min="4" max="4" width="20" customWidth="1"/>
    <col min="5" max="5" width="25.28515625" customWidth="1"/>
    <col min="6" max="6" width="23.28515625" customWidth="1"/>
    <col min="7" max="7" width="12.42578125" customWidth="1"/>
    <col min="8" max="8" width="20.5703125" customWidth="1"/>
  </cols>
  <sheetData>
    <row r="1" spans="1:8" x14ac:dyDescent="0.25">
      <c r="A1" s="29" t="s">
        <v>65</v>
      </c>
    </row>
    <row r="2" spans="1:8" x14ac:dyDescent="0.25">
      <c r="A2" s="65" t="s">
        <v>22</v>
      </c>
      <c r="B2" s="65"/>
      <c r="C2" s="65"/>
      <c r="H2" s="8" t="s">
        <v>21</v>
      </c>
    </row>
    <row r="3" spans="1:8" ht="15.75" thickBot="1" x14ac:dyDescent="0.3">
      <c r="C3" s="72" t="s">
        <v>6</v>
      </c>
      <c r="D3" s="72"/>
      <c r="E3" s="73" t="s">
        <v>10</v>
      </c>
      <c r="F3" s="73"/>
      <c r="H3">
        <v>192.5</v>
      </c>
    </row>
    <row r="4" spans="1:8" ht="16.5" thickTop="1" thickBot="1" x14ac:dyDescent="0.3">
      <c r="C4" s="1" t="s">
        <v>7</v>
      </c>
      <c r="D4" s="1" t="s">
        <v>8</v>
      </c>
      <c r="E4" s="1" t="s">
        <v>7</v>
      </c>
      <c r="F4" s="1" t="s">
        <v>11</v>
      </c>
    </row>
    <row r="5" spans="1:8" ht="16.5" thickTop="1" thickBot="1" x14ac:dyDescent="0.3">
      <c r="C5">
        <f>B13</f>
        <v>3649.66</v>
      </c>
      <c r="D5" s="33">
        <v>30</v>
      </c>
      <c r="E5">
        <f>B13</f>
        <v>3649.66</v>
      </c>
      <c r="F5" s="22">
        <v>2</v>
      </c>
    </row>
    <row r="6" spans="1:8" ht="16.5" thickTop="1" thickBot="1" x14ac:dyDescent="0.3">
      <c r="E6" s="1" t="s">
        <v>12</v>
      </c>
      <c r="F6" s="1" t="s">
        <v>13</v>
      </c>
    </row>
    <row r="7" spans="1:8" ht="15.75" thickTop="1" x14ac:dyDescent="0.25">
      <c r="E7" s="22">
        <v>30</v>
      </c>
      <c r="F7" s="22">
        <v>0</v>
      </c>
    </row>
    <row r="9" spans="1:8" ht="15.75" thickBot="1" x14ac:dyDescent="0.3">
      <c r="A9" s="66" t="s">
        <v>4</v>
      </c>
      <c r="B9" s="67"/>
      <c r="C9" s="68" t="s">
        <v>9</v>
      </c>
      <c r="D9" s="69"/>
      <c r="E9" s="70" t="s">
        <v>14</v>
      </c>
      <c r="F9" s="71"/>
      <c r="H9" s="4" t="s">
        <v>5</v>
      </c>
    </row>
    <row r="10" spans="1:8" ht="31.5" thickTop="1" thickBot="1" x14ac:dyDescent="0.3">
      <c r="A10" s="1" t="s">
        <v>0</v>
      </c>
      <c r="B10" s="2" t="s">
        <v>1</v>
      </c>
      <c r="C10" s="2" t="s">
        <v>2</v>
      </c>
      <c r="D10" s="2" t="s">
        <v>3</v>
      </c>
      <c r="E10" s="1" t="s">
        <v>2</v>
      </c>
      <c r="F10" s="1" t="s">
        <v>3</v>
      </c>
      <c r="H10" s="1" t="s">
        <v>15</v>
      </c>
    </row>
    <row r="11" spans="1:8" ht="15.75" thickTop="1" x14ac:dyDescent="0.25">
      <c r="A11" s="5">
        <v>0</v>
      </c>
      <c r="B11" s="5">
        <v>3816.18</v>
      </c>
      <c r="C11" s="4" t="s">
        <v>5</v>
      </c>
      <c r="E11" s="4" t="s">
        <v>5</v>
      </c>
      <c r="H11" s="64">
        <f>0.5*($B11+$B12)*($A12-$A11)</f>
        <v>9384.3945000000003</v>
      </c>
    </row>
    <row r="12" spans="1:8" x14ac:dyDescent="0.25">
      <c r="A12" s="5">
        <v>2.4700000000000002</v>
      </c>
      <c r="B12" s="5">
        <v>3782.52</v>
      </c>
      <c r="C12" s="4" t="s">
        <v>5</v>
      </c>
      <c r="E12" s="4" t="s">
        <v>5</v>
      </c>
      <c r="H12" s="64">
        <f t="shared" ref="H12:H24" si="0">0.5*($B12+$B13)*($A13-$A12)</f>
        <v>9401.707699999999</v>
      </c>
    </row>
    <row r="13" spans="1:8" x14ac:dyDescent="0.25">
      <c r="A13" s="5">
        <v>5</v>
      </c>
      <c r="B13" s="5">
        <v>3649.66</v>
      </c>
      <c r="C13" s="35">
        <f>$C$5*EXP((-1)*(LN(2)/$D$5)*($A13-$A$13))</f>
        <v>3649.66</v>
      </c>
      <c r="D13" s="36">
        <f t="shared" ref="D13:D25" si="1">(B13-C13)^2</f>
        <v>0</v>
      </c>
      <c r="E13" s="37">
        <f>$E$5*(($F$7)*(EXP((-1)*(LN(2)/$F$5)*($A13-$A$13)))+((1-$F$7)*(EXP((-1)*(LN(2)/$E$7)*($A13-$A$13)))))</f>
        <v>3649.66</v>
      </c>
      <c r="F13" s="39">
        <f t="shared" ref="F13:F25" si="2">(B13-E13)^2</f>
        <v>0</v>
      </c>
      <c r="H13">
        <f t="shared" si="0"/>
        <v>7654.6967000000004</v>
      </c>
    </row>
    <row r="14" spans="1:8" x14ac:dyDescent="0.25">
      <c r="A14" s="5">
        <v>7.17</v>
      </c>
      <c r="B14" s="5">
        <v>3405.36</v>
      </c>
      <c r="C14" s="35">
        <f t="shared" ref="C14:C25" si="3">$C$5*EXP((-1)*(LN(2)/$D$5)*($A14-$A$13))</f>
        <v>3471.1861534391678</v>
      </c>
      <c r="D14" s="36">
        <f t="shared" si="1"/>
        <v>4333.0824765968473</v>
      </c>
      <c r="E14" s="37">
        <f t="shared" ref="E14:E25" si="4">$E$5*(($F$7)*(EXP((-1)*(LN(2)/$F$5)*($A14-$A$13)))+((1-$F$7)*(EXP((-1)*(LN(2)/$E$7)*($A14-$A$13)))))</f>
        <v>3471.1861534391678</v>
      </c>
      <c r="F14" s="39">
        <f t="shared" si="2"/>
        <v>4333.0824765968473</v>
      </c>
      <c r="H14">
        <f t="shared" si="0"/>
        <v>31031.939800000004</v>
      </c>
    </row>
    <row r="15" spans="1:8" x14ac:dyDescent="0.25">
      <c r="A15" s="5">
        <v>17.5</v>
      </c>
      <c r="B15" s="5">
        <v>2602.7600000000002</v>
      </c>
      <c r="C15" s="35">
        <f t="shared" si="3"/>
        <v>2734.1557030968747</v>
      </c>
      <c r="D15" s="36">
        <f t="shared" si="1"/>
        <v>17264.830792321998</v>
      </c>
      <c r="E15" s="37">
        <f t="shared" si="4"/>
        <v>2734.1557030968747</v>
      </c>
      <c r="F15" s="39">
        <f t="shared" si="2"/>
        <v>17264.830792321998</v>
      </c>
      <c r="H15">
        <f t="shared" si="0"/>
        <v>5054.9489999999987</v>
      </c>
    </row>
    <row r="16" spans="1:8" x14ac:dyDescent="0.25">
      <c r="A16" s="5">
        <v>19.52</v>
      </c>
      <c r="B16" s="5">
        <v>2402.14</v>
      </c>
      <c r="C16" s="35">
        <f t="shared" si="3"/>
        <v>2609.4795026624038</v>
      </c>
      <c r="D16" s="36">
        <f t="shared" si="1"/>
        <v>42989.669364292997</v>
      </c>
      <c r="E16" s="37">
        <f t="shared" si="4"/>
        <v>2609.4795026624038</v>
      </c>
      <c r="F16" s="39">
        <f t="shared" si="2"/>
        <v>42989.669364292997</v>
      </c>
      <c r="H16">
        <f t="shared" si="0"/>
        <v>9269.7506000000012</v>
      </c>
    </row>
    <row r="17" spans="1:8" x14ac:dyDescent="0.25">
      <c r="A17" s="5">
        <v>23.59</v>
      </c>
      <c r="B17" s="5">
        <v>2153.02</v>
      </c>
      <c r="C17" s="35">
        <f t="shared" si="3"/>
        <v>2375.276400050418</v>
      </c>
      <c r="D17" s="36">
        <f t="shared" si="1"/>
        <v>49397.907363371472</v>
      </c>
      <c r="E17" s="37">
        <f t="shared" si="4"/>
        <v>2375.276400050418</v>
      </c>
      <c r="F17" s="39">
        <f t="shared" si="2"/>
        <v>49397.907363371472</v>
      </c>
      <c r="H17">
        <f t="shared" si="0"/>
        <v>5882.5756499999989</v>
      </c>
    </row>
    <row r="18" spans="1:8" x14ac:dyDescent="0.25">
      <c r="A18" s="5">
        <v>26.52</v>
      </c>
      <c r="B18" s="5">
        <v>1862.39</v>
      </c>
      <c r="C18" s="35">
        <f t="shared" si="3"/>
        <v>2219.7985200892781</v>
      </c>
      <c r="D18" s="36">
        <f t="shared" si="1"/>
        <v>127740.85023240783</v>
      </c>
      <c r="E18" s="37">
        <f t="shared" si="4"/>
        <v>2219.7985200892781</v>
      </c>
      <c r="F18" s="39">
        <f t="shared" si="2"/>
        <v>127740.85023240783</v>
      </c>
      <c r="H18">
        <f t="shared" si="0"/>
        <v>8551.9332000000013</v>
      </c>
    </row>
    <row r="19" spans="1:8" x14ac:dyDescent="0.25">
      <c r="A19" s="5">
        <v>31.34</v>
      </c>
      <c r="B19" s="5">
        <v>1686.13</v>
      </c>
      <c r="C19" s="35">
        <f t="shared" si="3"/>
        <v>1985.857454834133</v>
      </c>
      <c r="D19" s="36">
        <f t="shared" si="1"/>
        <v>89836.547181347181</v>
      </c>
      <c r="E19" s="37">
        <f t="shared" si="4"/>
        <v>1985.857454834133</v>
      </c>
      <c r="F19" s="39">
        <f t="shared" si="2"/>
        <v>89836.547181347181</v>
      </c>
      <c r="H19">
        <f t="shared" si="0"/>
        <v>13669.499700000004</v>
      </c>
    </row>
    <row r="20" spans="1:8" x14ac:dyDescent="0.25">
      <c r="A20" s="5">
        <v>41.17</v>
      </c>
      <c r="B20" s="5">
        <v>1095.05</v>
      </c>
      <c r="C20" s="35">
        <f t="shared" si="3"/>
        <v>1582.3792390311912</v>
      </c>
      <c r="D20" s="36">
        <f t="shared" si="1"/>
        <v>237489.78721471995</v>
      </c>
      <c r="E20" s="37">
        <f t="shared" si="4"/>
        <v>1582.3792390311912</v>
      </c>
      <c r="F20" s="39">
        <f t="shared" si="2"/>
        <v>237489.78721471995</v>
      </c>
      <c r="H20">
        <f t="shared" si="0"/>
        <v>2235.5549999999939</v>
      </c>
    </row>
    <row r="21" spans="1:8" x14ac:dyDescent="0.25">
      <c r="A21" s="5">
        <v>43.269999999999996</v>
      </c>
      <c r="B21" s="5">
        <v>1034.05</v>
      </c>
      <c r="C21" s="35">
        <f t="shared" si="3"/>
        <v>1507.4345904169631</v>
      </c>
      <c r="D21" s="36">
        <f t="shared" si="1"/>
        <v>224092.97044423601</v>
      </c>
      <c r="E21" s="37">
        <f t="shared" si="4"/>
        <v>1507.4345904169631</v>
      </c>
      <c r="F21" s="39">
        <f t="shared" si="2"/>
        <v>224092.97044423601</v>
      </c>
      <c r="H21">
        <f t="shared" si="0"/>
        <v>4172.8606499999996</v>
      </c>
    </row>
    <row r="22" spans="1:8" x14ac:dyDescent="0.25">
      <c r="A22" s="5">
        <v>47.699999999999996</v>
      </c>
      <c r="B22" s="5">
        <v>849.86</v>
      </c>
      <c r="C22" s="35">
        <f t="shared" si="3"/>
        <v>1360.7751839619311</v>
      </c>
      <c r="D22" s="36">
        <f t="shared" si="1"/>
        <v>261034.32520285391</v>
      </c>
      <c r="E22" s="37">
        <f t="shared" si="4"/>
        <v>1360.7751839619311</v>
      </c>
      <c r="F22" s="39">
        <f t="shared" si="2"/>
        <v>261034.32520285391</v>
      </c>
      <c r="H22">
        <f t="shared" si="0"/>
        <v>2083.0320000000024</v>
      </c>
    </row>
    <row r="23" spans="1:8" x14ac:dyDescent="0.25">
      <c r="A23" s="5">
        <v>50.22</v>
      </c>
      <c r="B23" s="5">
        <v>803.34</v>
      </c>
      <c r="C23" s="35">
        <f t="shared" si="3"/>
        <v>1283.8073594188559</v>
      </c>
      <c r="D23" s="36">
        <f t="shared" si="1"/>
        <v>230848.883466928</v>
      </c>
      <c r="E23" s="37">
        <f t="shared" si="4"/>
        <v>1283.8073594188559</v>
      </c>
      <c r="F23" s="39">
        <f t="shared" si="2"/>
        <v>230848.883466928</v>
      </c>
      <c r="H23">
        <f t="shared" si="0"/>
        <v>3956.8320000000012</v>
      </c>
    </row>
    <row r="24" spans="1:8" x14ac:dyDescent="0.25">
      <c r="A24" s="5">
        <v>55.5</v>
      </c>
      <c r="B24" s="5">
        <v>695.46</v>
      </c>
      <c r="C24" s="35">
        <f t="shared" si="3"/>
        <v>1136.3669171845256</v>
      </c>
      <c r="D24" s="36">
        <f t="shared" si="1"/>
        <v>194398.90962116211</v>
      </c>
      <c r="E24" s="37">
        <f t="shared" si="4"/>
        <v>1136.3669171845256</v>
      </c>
      <c r="F24" s="39">
        <f t="shared" si="2"/>
        <v>194398.90962116211</v>
      </c>
      <c r="H24">
        <f t="shared" si="0"/>
        <v>6910.2719999999981</v>
      </c>
    </row>
    <row r="25" spans="1:8" x14ac:dyDescent="0.25">
      <c r="A25" s="5">
        <v>67.02</v>
      </c>
      <c r="B25" s="5">
        <v>504.24</v>
      </c>
      <c r="C25" s="35">
        <f t="shared" si="3"/>
        <v>870.80930969839437</v>
      </c>
      <c r="D25" s="36">
        <f t="shared" si="1"/>
        <v>134373.05881275737</v>
      </c>
      <c r="E25" s="37">
        <f t="shared" si="4"/>
        <v>870.80930969839437</v>
      </c>
      <c r="F25" s="39">
        <f t="shared" si="2"/>
        <v>134373.05881275737</v>
      </c>
      <c r="G25" t="s">
        <v>20</v>
      </c>
      <c r="H25">
        <f>1.44*$B$25*$D$5</f>
        <v>21783.167999999998</v>
      </c>
    </row>
    <row r="28" spans="1:8" ht="15.75" thickBot="1" x14ac:dyDescent="0.3"/>
    <row r="29" spans="1:8" ht="31.5" thickTop="1" thickBot="1" x14ac:dyDescent="0.3">
      <c r="D29" s="34" t="s">
        <v>19</v>
      </c>
      <c r="F29" s="34" t="s">
        <v>19</v>
      </c>
    </row>
    <row r="30" spans="1:8" ht="15.75" thickTop="1" x14ac:dyDescent="0.25">
      <c r="D30" s="3">
        <f>SUM(D13:D25)</f>
        <v>1613800.8221729957</v>
      </c>
      <c r="F30" s="3">
        <f>SUM(F13:F25)</f>
        <v>1613800.8221729957</v>
      </c>
    </row>
    <row r="32" spans="1:8" x14ac:dyDescent="0.25">
      <c r="C32" s="7" t="s">
        <v>18</v>
      </c>
      <c r="E32" s="6" t="s">
        <v>17</v>
      </c>
      <c r="H32" s="4" t="s">
        <v>16</v>
      </c>
    </row>
    <row r="33" spans="1:17" x14ac:dyDescent="0.25">
      <c r="C33" s="3">
        <f>(SUM(H11:H12))+(1.443*C13*D5)</f>
        <v>176779.8836</v>
      </c>
      <c r="E33" s="3">
        <f>(SUM(H11:H12))+(($E$13*$F$7)/(LN(2)/$F$5))+(($E$13*(1-$F$7))/(LN(2)/($E$7)))</f>
        <v>176746.49368792443</v>
      </c>
      <c r="H33" s="3">
        <f>SUM(H11:H25)</f>
        <v>141043.16649999999</v>
      </c>
    </row>
    <row r="35" spans="1:17" x14ac:dyDescent="0.25">
      <c r="A35" s="27" t="s">
        <v>47</v>
      </c>
      <c r="B35" s="27">
        <v>80</v>
      </c>
      <c r="C35" s="27" t="s">
        <v>52</v>
      </c>
      <c r="D35" s="27">
        <f>0.000134*(B35^(-0.921))</f>
        <v>2.3678758073270261E-6</v>
      </c>
      <c r="Q35" s="24" t="b">
        <f>$F$7&gt;=0</f>
        <v>1</v>
      </c>
    </row>
    <row r="36" spans="1:17" x14ac:dyDescent="0.25">
      <c r="Q36" s="24">
        <f>{32767,32767,0.000001,0.01,FALSE,FALSE,FALSE,1,2,1,0.0001,TRUE}</f>
        <v>32767</v>
      </c>
    </row>
    <row r="37" spans="1:17" x14ac:dyDescent="0.25">
      <c r="C37" s="28" t="s">
        <v>49</v>
      </c>
      <c r="E37" s="30" t="s">
        <v>48</v>
      </c>
      <c r="F37" s="29"/>
      <c r="G37" s="29"/>
      <c r="H37" s="31" t="s">
        <v>50</v>
      </c>
      <c r="Q37" s="24">
        <f>{0,0,1,100,0,FALSE,FALSE,0.075,0,0,FALSE,30}</f>
        <v>0</v>
      </c>
    </row>
    <row r="38" spans="1:17" x14ac:dyDescent="0.25">
      <c r="C38" s="26">
        <f>C33*D35</f>
        <v>0.41859280959852768</v>
      </c>
      <c r="E38" s="25">
        <f>E33*D35</f>
        <v>0.41851374643351519</v>
      </c>
      <c r="H38" s="25">
        <f>H33*D35</f>
        <v>0.33397270174414767</v>
      </c>
    </row>
  </sheetData>
  <mergeCells count="6">
    <mergeCell ref="A2:C2"/>
    <mergeCell ref="C3:D3"/>
    <mergeCell ref="E3:F3"/>
    <mergeCell ref="A9:B9"/>
    <mergeCell ref="C9:D9"/>
    <mergeCell ref="E9:F9"/>
  </mergeCells>
  <phoneticPr fontId="9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4"/>
  <sheetViews>
    <sheetView workbookViewId="0"/>
  </sheetViews>
  <sheetFormatPr defaultRowHeight="15" x14ac:dyDescent="0.25"/>
  <cols>
    <col min="2" max="2" width="17.42578125" customWidth="1"/>
    <col min="3" max="3" width="25.5703125" customWidth="1"/>
    <col min="4" max="4" width="13.5703125" customWidth="1"/>
    <col min="5" max="5" width="19.42578125" customWidth="1"/>
    <col min="6" max="6" width="29.140625" customWidth="1"/>
  </cols>
  <sheetData>
    <row r="1" spans="1:6" x14ac:dyDescent="0.25">
      <c r="A1" s="29" t="s">
        <v>65</v>
      </c>
    </row>
    <row r="4" spans="1:6" ht="15.75" thickBot="1" x14ac:dyDescent="0.3">
      <c r="B4" s="72" t="s">
        <v>38</v>
      </c>
      <c r="C4" s="72"/>
      <c r="E4" s="74" t="s">
        <v>39</v>
      </c>
      <c r="F4" s="74"/>
    </row>
    <row r="5" spans="1:6" ht="16.5" thickTop="1" thickBot="1" x14ac:dyDescent="0.3">
      <c r="B5" s="1" t="s">
        <v>7</v>
      </c>
      <c r="C5" s="1" t="s">
        <v>36</v>
      </c>
      <c r="E5" s="13" t="s">
        <v>7</v>
      </c>
      <c r="F5" s="13" t="s">
        <v>43</v>
      </c>
    </row>
    <row r="6" spans="1:6" ht="15.75" thickTop="1" x14ac:dyDescent="0.25">
      <c r="B6">
        <f>A12</f>
        <v>0</v>
      </c>
      <c r="C6" s="11">
        <f>'Case 4 - full  '!D5</f>
        <v>30</v>
      </c>
      <c r="E6" s="12">
        <f>D12</f>
        <v>0</v>
      </c>
      <c r="F6" s="11">
        <f>'Case 4 - Peak removed'!D5</f>
        <v>30</v>
      </c>
    </row>
    <row r="10" spans="1:6" x14ac:dyDescent="0.25">
      <c r="C10" s="7" t="s">
        <v>34</v>
      </c>
      <c r="F10" s="15" t="s">
        <v>40</v>
      </c>
    </row>
    <row r="11" spans="1:6" x14ac:dyDescent="0.25">
      <c r="C11" s="9">
        <f>'Case 4 - full  '!C33</f>
        <v>165202.43219999998</v>
      </c>
      <c r="F11" s="9">
        <f>'Case 4 - Peak removed'!C33</f>
        <v>176779.8836</v>
      </c>
    </row>
    <row r="21" spans="2:5" ht="15.75" thickBot="1" x14ac:dyDescent="0.3">
      <c r="B21" s="75" t="s">
        <v>32</v>
      </c>
      <c r="C21" s="75"/>
      <c r="D21" s="75"/>
      <c r="E21" s="75"/>
    </row>
    <row r="22" spans="2:5" ht="16.5" thickTop="1" thickBot="1" x14ac:dyDescent="0.3">
      <c r="B22" s="13" t="s">
        <v>7</v>
      </c>
      <c r="C22" s="13" t="s">
        <v>31</v>
      </c>
      <c r="D22" s="13" t="s">
        <v>30</v>
      </c>
      <c r="E22" s="14" t="s">
        <v>29</v>
      </c>
    </row>
    <row r="23" spans="2:5" ht="15.75" thickTop="1" x14ac:dyDescent="0.25">
      <c r="B23" s="12">
        <f>'Case 1 - full'!E5</f>
        <v>5495.91</v>
      </c>
      <c r="C23" s="11">
        <f>'Case 4 - full  '!F5</f>
        <v>0.5</v>
      </c>
      <c r="D23" s="11">
        <f>'Case 4 - full  '!E7</f>
        <v>30</v>
      </c>
      <c r="E23" s="11">
        <f>'Case 4 - full  '!F7</f>
        <v>0</v>
      </c>
    </row>
    <row r="25" spans="2:5" ht="15.75" thickBot="1" x14ac:dyDescent="0.3">
      <c r="B25" s="75" t="s">
        <v>41</v>
      </c>
      <c r="C25" s="75"/>
      <c r="D25" s="75"/>
      <c r="E25" s="75"/>
    </row>
    <row r="26" spans="2:5" ht="16.5" thickTop="1" thickBot="1" x14ac:dyDescent="0.3">
      <c r="B26" s="13" t="s">
        <v>7</v>
      </c>
      <c r="C26" s="13" t="s">
        <v>44</v>
      </c>
      <c r="D26" s="13" t="s">
        <v>45</v>
      </c>
      <c r="E26" s="13" t="s">
        <v>46</v>
      </c>
    </row>
    <row r="27" spans="2:5" ht="15.75" thickTop="1" x14ac:dyDescent="0.25">
      <c r="B27" s="12">
        <f>'Case 1 - 24 hour sampling'!E5</f>
        <v>5495.91</v>
      </c>
      <c r="C27" s="11">
        <f>'Case 4 - Peak removed'!F5</f>
        <v>2</v>
      </c>
      <c r="D27" s="11">
        <f>'Case 4 - Peak removed'!E7</f>
        <v>30</v>
      </c>
      <c r="E27" s="11">
        <f>'Case 4 - Peak removed'!F7</f>
        <v>0</v>
      </c>
    </row>
    <row r="33" spans="2:4" ht="30" x14ac:dyDescent="0.25">
      <c r="B33" s="6" t="s">
        <v>24</v>
      </c>
      <c r="D33" s="10" t="s">
        <v>42</v>
      </c>
    </row>
    <row r="34" spans="2:4" x14ac:dyDescent="0.25">
      <c r="B34" s="9">
        <f>'Case 4 - full  '!E33</f>
        <v>165167.51883418934</v>
      </c>
      <c r="D34" s="9">
        <f>'Case 4 - Peak removed'!E33</f>
        <v>176746.49368792443</v>
      </c>
    </row>
  </sheetData>
  <mergeCells count="4">
    <mergeCell ref="B4:C4"/>
    <mergeCell ref="E4:F4"/>
    <mergeCell ref="B21:E21"/>
    <mergeCell ref="B25:E25"/>
  </mergeCells>
  <phoneticPr fontId="9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46"/>
  <sheetViews>
    <sheetView workbookViewId="0">
      <selection activeCell="H14" sqref="H14"/>
    </sheetView>
  </sheetViews>
  <sheetFormatPr defaultRowHeight="15" x14ac:dyDescent="0.25"/>
  <cols>
    <col min="2" max="2" width="12.7109375" customWidth="1"/>
    <col min="3" max="3" width="20.42578125" customWidth="1"/>
    <col min="4" max="4" width="20" customWidth="1"/>
    <col min="5" max="5" width="12.42578125" customWidth="1"/>
    <col min="8" max="8" width="26" customWidth="1"/>
  </cols>
  <sheetData>
    <row r="1" spans="1:8" s="29" customFormat="1" x14ac:dyDescent="0.25">
      <c r="A1" s="29" t="s">
        <v>65</v>
      </c>
    </row>
    <row r="2" spans="1:8" x14ac:dyDescent="0.25">
      <c r="A2" s="65" t="s">
        <v>22</v>
      </c>
      <c r="B2" s="65"/>
      <c r="C2" s="65"/>
      <c r="H2" s="8" t="s">
        <v>58</v>
      </c>
    </row>
    <row r="3" spans="1:8" ht="15.75" thickBot="1" x14ac:dyDescent="0.3">
      <c r="C3" s="72" t="s">
        <v>6</v>
      </c>
      <c r="D3" s="72"/>
      <c r="H3">
        <v>13.1</v>
      </c>
    </row>
    <row r="4" spans="1:8" ht="16.5" thickTop="1" thickBot="1" x14ac:dyDescent="0.3">
      <c r="C4" s="1" t="s">
        <v>7</v>
      </c>
      <c r="D4" s="1" t="s">
        <v>8</v>
      </c>
    </row>
    <row r="5" spans="1:8" ht="15.75" thickTop="1" x14ac:dyDescent="0.25">
      <c r="C5" s="45">
        <f>B11</f>
        <v>397.4792616911526</v>
      </c>
      <c r="D5" s="33">
        <v>7</v>
      </c>
      <c r="H5" s="8" t="s">
        <v>21</v>
      </c>
    </row>
    <row r="6" spans="1:8" x14ac:dyDescent="0.25">
      <c r="H6">
        <v>192.96</v>
      </c>
    </row>
    <row r="8" spans="1:8" x14ac:dyDescent="0.25">
      <c r="A8" s="47" t="s">
        <v>59</v>
      </c>
    </row>
    <row r="9" spans="1:8" ht="15.75" thickBot="1" x14ac:dyDescent="0.3">
      <c r="A9" s="66" t="s">
        <v>4</v>
      </c>
      <c r="B9" s="67"/>
      <c r="C9" s="68" t="s">
        <v>9</v>
      </c>
      <c r="D9" s="69"/>
    </row>
    <row r="10" spans="1:8" ht="46.5" thickTop="1" thickBot="1" x14ac:dyDescent="0.3">
      <c r="A10" s="1" t="s">
        <v>56</v>
      </c>
      <c r="B10" s="2" t="s">
        <v>57</v>
      </c>
      <c r="C10" s="2" t="s">
        <v>2</v>
      </c>
      <c r="D10" s="2" t="s">
        <v>3</v>
      </c>
      <c r="H10" s="29"/>
    </row>
    <row r="11" spans="1:8" ht="15.75" thickTop="1" x14ac:dyDescent="0.25">
      <c r="A11" s="41">
        <v>0.16666666666666607</v>
      </c>
      <c r="B11" s="41">
        <v>397.4792616911526</v>
      </c>
      <c r="C11" s="58">
        <f>$C$5*EXP((-1)*(LN(2)/$D$5)*($A11-$A$11))</f>
        <v>397.4792616911526</v>
      </c>
      <c r="D11" s="59">
        <f>(B11-C11)^2</f>
        <v>0</v>
      </c>
      <c r="H11" s="62" t="s">
        <v>66</v>
      </c>
    </row>
    <row r="12" spans="1:8" x14ac:dyDescent="0.25">
      <c r="A12" s="41">
        <v>1.9999999999999996</v>
      </c>
      <c r="B12" s="41">
        <v>280.85942941012979</v>
      </c>
      <c r="C12" s="58">
        <f t="shared" ref="C12:C18" si="0">$C$5*EXP((-1)*(LN(2)/$D$5)*($A12-$A$11))</f>
        <v>331.49217800893763</v>
      </c>
      <c r="D12" s="59">
        <f t="shared" ref="D12:D18" si="1">(B12-C12)^2</f>
        <v>2563.6752306700769</v>
      </c>
      <c r="H12" t="s">
        <v>66</v>
      </c>
    </row>
    <row r="13" spans="1:8" x14ac:dyDescent="0.25">
      <c r="A13" s="41">
        <v>4.0666666666666664</v>
      </c>
      <c r="B13" s="41">
        <v>203.11287455611463</v>
      </c>
      <c r="C13" s="58">
        <f t="shared" si="0"/>
        <v>270.14551554707867</v>
      </c>
      <c r="D13" s="59">
        <f t="shared" si="1"/>
        <v>4493.3749582234723</v>
      </c>
      <c r="H13" t="s">
        <v>66</v>
      </c>
    </row>
    <row r="14" spans="1:8" x14ac:dyDescent="0.25">
      <c r="A14" s="41">
        <v>5.466666666666665</v>
      </c>
      <c r="B14" s="41">
        <v>173.95791648585896</v>
      </c>
      <c r="C14" s="58">
        <f t="shared" si="0"/>
        <v>235.17533073143125</v>
      </c>
      <c r="D14" s="59">
        <f t="shared" si="1"/>
        <v>3747.5718069139966</v>
      </c>
      <c r="H14" s="62" t="s">
        <v>66</v>
      </c>
    </row>
    <row r="15" spans="1:8" x14ac:dyDescent="0.25">
      <c r="A15" s="41">
        <v>21.666666666666664</v>
      </c>
      <c r="B15" s="41">
        <v>34.014117748631648</v>
      </c>
      <c r="C15" s="58">
        <f t="shared" si="0"/>
        <v>47.284885846713699</v>
      </c>
      <c r="D15" s="59">
        <f t="shared" si="1"/>
        <v>176.1132859130723</v>
      </c>
      <c r="H15" t="s">
        <v>66</v>
      </c>
    </row>
    <row r="16" spans="1:8" x14ac:dyDescent="0.25">
      <c r="A16" s="41">
        <v>25.583333333333336</v>
      </c>
      <c r="B16" s="41">
        <v>26.23946226323012</v>
      </c>
      <c r="C16" s="58">
        <f t="shared" si="0"/>
        <v>32.084028611817786</v>
      </c>
      <c r="D16" s="59">
        <f t="shared" si="1"/>
        <v>34.158955803043362</v>
      </c>
    </row>
    <row r="17" spans="1:5" x14ac:dyDescent="0.25">
      <c r="A17" s="41">
        <v>29.616666666666667</v>
      </c>
      <c r="B17" s="41">
        <v>18.464806777828603</v>
      </c>
      <c r="C17" s="58">
        <f t="shared" si="0"/>
        <v>21.519802360198131</v>
      </c>
      <c r="D17" s="59">
        <f t="shared" si="1"/>
        <v>9.3329980082973343</v>
      </c>
    </row>
    <row r="18" spans="1:5" x14ac:dyDescent="0.25">
      <c r="A18" s="44">
        <v>46.583333333333336</v>
      </c>
      <c r="B18" s="44">
        <v>4.8591596783759483</v>
      </c>
      <c r="C18" s="60">
        <f t="shared" si="0"/>
        <v>4.010503576477225</v>
      </c>
      <c r="D18" s="61">
        <f t="shared" si="1"/>
        <v>0.72021717928993623</v>
      </c>
      <c r="E18" t="s">
        <v>20</v>
      </c>
    </row>
    <row r="19" spans="1:5" ht="15.75" thickBot="1" x14ac:dyDescent="0.3">
      <c r="A19" s="42"/>
      <c r="B19" s="42"/>
      <c r="C19" s="43"/>
      <c r="D19" s="43"/>
    </row>
    <row r="20" spans="1:5" ht="31.5" thickTop="1" thickBot="1" x14ac:dyDescent="0.3">
      <c r="A20" s="47"/>
      <c r="D20" s="34" t="s">
        <v>19</v>
      </c>
    </row>
    <row r="21" spans="1:5" ht="15.75" thickTop="1" x14ac:dyDescent="0.25">
      <c r="D21" s="57">
        <f>SUM(D11:D18)</f>
        <v>11024.947452711249</v>
      </c>
    </row>
    <row r="23" spans="1:5" x14ac:dyDescent="0.25">
      <c r="C23" s="7" t="s">
        <v>18</v>
      </c>
    </row>
    <row r="24" spans="1:5" x14ac:dyDescent="0.25">
      <c r="C24" s="46">
        <f>1.443*D5*C5</f>
        <v>4014.9380223423327</v>
      </c>
    </row>
    <row r="26" spans="1:5" x14ac:dyDescent="0.25">
      <c r="A26" t="s">
        <v>60</v>
      </c>
    </row>
    <row r="28" spans="1:5" x14ac:dyDescent="0.25">
      <c r="A28" t="s">
        <v>61</v>
      </c>
    </row>
    <row r="29" spans="1:5" x14ac:dyDescent="0.25">
      <c r="C29" s="7" t="s">
        <v>62</v>
      </c>
    </row>
    <row r="30" spans="1:5" x14ac:dyDescent="0.25">
      <c r="C30" s="46">
        <f>1/((1/D5)-(1/$H$3))</f>
        <v>15.032786885245905</v>
      </c>
      <c r="D30" t="s">
        <v>67</v>
      </c>
    </row>
    <row r="31" spans="1:5" x14ac:dyDescent="0.25">
      <c r="C31" s="7" t="s">
        <v>8</v>
      </c>
    </row>
    <row r="32" spans="1:5" x14ac:dyDescent="0.25">
      <c r="C32" s="46">
        <f>1/((1/C30)+(1/$H$6))</f>
        <v>13.946284391955587</v>
      </c>
      <c r="D32" t="s">
        <v>68</v>
      </c>
    </row>
    <row r="34" spans="1:5" x14ac:dyDescent="0.25">
      <c r="A34" t="s">
        <v>64</v>
      </c>
    </row>
    <row r="35" spans="1:5" x14ac:dyDescent="0.25">
      <c r="C35" s="7" t="s">
        <v>7</v>
      </c>
    </row>
    <row r="36" spans="1:5" x14ac:dyDescent="0.25">
      <c r="C36" s="46">
        <v>7400</v>
      </c>
    </row>
    <row r="38" spans="1:5" x14ac:dyDescent="0.25">
      <c r="A38" t="s">
        <v>63</v>
      </c>
    </row>
    <row r="39" spans="1:5" x14ac:dyDescent="0.25">
      <c r="C39" s="7" t="s">
        <v>18</v>
      </c>
    </row>
    <row r="40" spans="1:5" x14ac:dyDescent="0.25">
      <c r="C40" s="46">
        <f>1.443*C36*C32</f>
        <v>148921.21399418014</v>
      </c>
    </row>
    <row r="43" spans="1:5" x14ac:dyDescent="0.25">
      <c r="A43" s="27" t="s">
        <v>47</v>
      </c>
      <c r="B43" s="52">
        <v>80</v>
      </c>
      <c r="C43" s="27" t="s">
        <v>52</v>
      </c>
      <c r="D43" s="27">
        <f>0.000134*(B43^(-0.921))</f>
        <v>2.3678758073270261E-6</v>
      </c>
    </row>
    <row r="45" spans="1:5" x14ac:dyDescent="0.25">
      <c r="C45" s="28" t="s">
        <v>49</v>
      </c>
      <c r="E45" s="29"/>
    </row>
    <row r="46" spans="1:5" x14ac:dyDescent="0.25">
      <c r="C46" s="48">
        <f>C40*D43</f>
        <v>0.35262693981459015</v>
      </c>
      <c r="D46" s="12"/>
    </row>
  </sheetData>
  <mergeCells count="4">
    <mergeCell ref="A2:C2"/>
    <mergeCell ref="C3:D3"/>
    <mergeCell ref="A9:B9"/>
    <mergeCell ref="C9:D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8"/>
  <sheetViews>
    <sheetView workbookViewId="0">
      <selection activeCell="C4" sqref="C4:F4"/>
    </sheetView>
  </sheetViews>
  <sheetFormatPr defaultRowHeight="15" x14ac:dyDescent="0.25"/>
  <cols>
    <col min="2" max="2" width="12.7109375" customWidth="1"/>
    <col min="3" max="3" width="20.42578125" customWidth="1"/>
    <col min="4" max="4" width="20" customWidth="1"/>
    <col min="5" max="5" width="25.28515625" customWidth="1"/>
    <col min="6" max="6" width="23.28515625" customWidth="1"/>
    <col min="7" max="7" width="12.42578125" customWidth="1"/>
    <col min="8" max="8" width="20.5703125" customWidth="1"/>
  </cols>
  <sheetData>
    <row r="1" spans="1:8" s="29" customFormat="1" x14ac:dyDescent="0.25">
      <c r="A1" s="29" t="s">
        <v>65</v>
      </c>
    </row>
    <row r="2" spans="1:8" x14ac:dyDescent="0.25">
      <c r="A2" s="65" t="s">
        <v>22</v>
      </c>
      <c r="B2" s="65"/>
      <c r="C2" s="65"/>
      <c r="H2" s="8" t="s">
        <v>21</v>
      </c>
    </row>
    <row r="3" spans="1:8" ht="15.75" thickBot="1" x14ac:dyDescent="0.3">
      <c r="C3" s="72" t="s">
        <v>6</v>
      </c>
      <c r="D3" s="72"/>
      <c r="E3" s="73" t="s">
        <v>10</v>
      </c>
      <c r="F3" s="73"/>
      <c r="H3">
        <v>192.5</v>
      </c>
    </row>
    <row r="4" spans="1:8" ht="16.5" thickTop="1" thickBot="1" x14ac:dyDescent="0.3">
      <c r="C4" s="1" t="s">
        <v>7</v>
      </c>
      <c r="D4" s="1" t="s">
        <v>8</v>
      </c>
      <c r="E4" s="1" t="s">
        <v>7</v>
      </c>
      <c r="F4" s="1" t="s">
        <v>11</v>
      </c>
    </row>
    <row r="5" spans="1:8" ht="16.5" thickTop="1" thickBot="1" x14ac:dyDescent="0.3">
      <c r="C5">
        <f>B11</f>
        <v>5495.91</v>
      </c>
      <c r="D5" s="33">
        <v>30</v>
      </c>
      <c r="E5">
        <f>B11</f>
        <v>5495.91</v>
      </c>
      <c r="F5" s="22">
        <v>2</v>
      </c>
    </row>
    <row r="6" spans="1:8" ht="16.5" thickTop="1" thickBot="1" x14ac:dyDescent="0.3">
      <c r="E6" s="1" t="s">
        <v>12</v>
      </c>
      <c r="F6" s="1" t="s">
        <v>13</v>
      </c>
    </row>
    <row r="7" spans="1:8" ht="15.75" thickTop="1" x14ac:dyDescent="0.25">
      <c r="E7" s="22">
        <v>30</v>
      </c>
      <c r="F7" s="22">
        <v>0.5</v>
      </c>
    </row>
    <row r="9" spans="1:8" ht="15.75" thickBot="1" x14ac:dyDescent="0.3">
      <c r="A9" s="66" t="s">
        <v>4</v>
      </c>
      <c r="B9" s="67"/>
      <c r="C9" s="68" t="s">
        <v>9</v>
      </c>
      <c r="D9" s="69"/>
      <c r="E9" s="70" t="s">
        <v>14</v>
      </c>
      <c r="F9" s="71"/>
      <c r="H9" s="4" t="s">
        <v>5</v>
      </c>
    </row>
    <row r="10" spans="1:8" ht="31.5" thickTop="1" thickBot="1" x14ac:dyDescent="0.3">
      <c r="A10" s="1" t="s">
        <v>0</v>
      </c>
      <c r="B10" s="2" t="s">
        <v>1</v>
      </c>
      <c r="C10" s="2" t="s">
        <v>2</v>
      </c>
      <c r="D10" s="2" t="s">
        <v>3</v>
      </c>
      <c r="E10" s="19" t="s">
        <v>2</v>
      </c>
      <c r="F10" s="19" t="s">
        <v>3</v>
      </c>
      <c r="H10" s="1" t="s">
        <v>15</v>
      </c>
    </row>
    <row r="11" spans="1:8" ht="15.75" thickTop="1" x14ac:dyDescent="0.25">
      <c r="A11" s="5">
        <v>0</v>
      </c>
      <c r="B11" s="5">
        <v>5495.91</v>
      </c>
      <c r="C11" s="55">
        <f t="shared" ref="C11:C16" si="0">$C$5*EXP((-1)*(LN(2)/$D$5)*($A11-$A$11))</f>
        <v>5495.91</v>
      </c>
      <c r="D11" s="56">
        <f t="shared" ref="D11:D16" si="1">(B11-C11)^2</f>
        <v>0</v>
      </c>
      <c r="E11" s="37">
        <f t="shared" ref="E11:E16" si="2">$E$5*(($F$7)*(EXP((-1)*(LN(2)/$F$5)*($A11-$A$11)))+((1-$F$7)*(EXP((-1)*(LN(2)/$E$7)*($A11-$A$11)))))</f>
        <v>5495.91</v>
      </c>
      <c r="F11" s="38">
        <f t="shared" ref="F11:F16" si="3">(B11-E11)^2</f>
        <v>0</v>
      </c>
      <c r="H11">
        <f>0.5*($B11+$B12)*($A12-$A11)</f>
        <v>95970.926999999996</v>
      </c>
    </row>
    <row r="12" spans="1:8" x14ac:dyDescent="0.25">
      <c r="A12" s="5">
        <v>25.22</v>
      </c>
      <c r="B12" s="5">
        <v>2114.79</v>
      </c>
      <c r="C12" s="55">
        <f t="shared" si="0"/>
        <v>3068.8363462919351</v>
      </c>
      <c r="D12" s="56">
        <f t="shared" si="1"/>
        <v>910204.4308729911</v>
      </c>
      <c r="E12" s="37">
        <f t="shared" si="2"/>
        <v>1534.8577363913409</v>
      </c>
      <c r="F12" s="38">
        <f t="shared" si="3"/>
        <v>336321.43037426315</v>
      </c>
      <c r="H12">
        <f>0.5*($B12+$B13)*($A13-$A12)</f>
        <v>36581.658750000002</v>
      </c>
    </row>
    <row r="13" spans="1:8" x14ac:dyDescent="0.25">
      <c r="A13" s="5">
        <v>47.97</v>
      </c>
      <c r="B13" s="5">
        <v>1101.18</v>
      </c>
      <c r="C13" s="55">
        <f t="shared" si="0"/>
        <v>1814.2312740406876</v>
      </c>
      <c r="D13" s="56">
        <f t="shared" si="1"/>
        <v>508442.11941104766</v>
      </c>
      <c r="E13" s="37">
        <f t="shared" si="2"/>
        <v>907.11580252307704</v>
      </c>
      <c r="F13" s="38">
        <f t="shared" si="3"/>
        <v>37660.912742362176</v>
      </c>
      <c r="H13">
        <f>0.5*($B13+$B14)*($A14-$A13)</f>
        <v>22836.422250000003</v>
      </c>
    </row>
    <row r="14" spans="1:8" x14ac:dyDescent="0.25">
      <c r="A14" s="5">
        <v>74.28</v>
      </c>
      <c r="B14" s="5">
        <v>634.77</v>
      </c>
      <c r="C14" s="55">
        <f t="shared" si="0"/>
        <v>987.84622127986529</v>
      </c>
      <c r="D14" s="56">
        <f t="shared" si="1"/>
        <v>124662.81803326841</v>
      </c>
      <c r="E14" s="37">
        <f t="shared" si="2"/>
        <v>493.92311065807763</v>
      </c>
      <c r="F14" s="38">
        <f t="shared" si="3"/>
        <v>19837.846237295718</v>
      </c>
      <c r="H14">
        <f>0.5*($B14+$B15)*($A15-$A14)</f>
        <v>10782.243400000001</v>
      </c>
    </row>
    <row r="15" spans="1:8" x14ac:dyDescent="0.25">
      <c r="A15" s="5">
        <v>93.62</v>
      </c>
      <c r="B15" s="5">
        <v>480.25</v>
      </c>
      <c r="C15" s="55">
        <f t="shared" si="0"/>
        <v>631.86651206756926</v>
      </c>
      <c r="D15" s="56">
        <f t="shared" si="1"/>
        <v>22987.566731535375</v>
      </c>
      <c r="E15" s="37">
        <f t="shared" si="2"/>
        <v>315.93325603380691</v>
      </c>
      <c r="F15" s="38">
        <f t="shared" si="3"/>
        <v>26999.992347651452</v>
      </c>
      <c r="H15">
        <f>0.5*($B15+$B16)*($A16-$A15)</f>
        <v>11427.419850000002</v>
      </c>
    </row>
    <row r="16" spans="1:8" x14ac:dyDescent="0.25">
      <c r="A16" s="5">
        <v>121.55000000000001</v>
      </c>
      <c r="B16" s="5">
        <v>338.04</v>
      </c>
      <c r="C16" s="55">
        <f t="shared" si="0"/>
        <v>331.41061380544284</v>
      </c>
      <c r="D16" s="56">
        <f t="shared" si="1"/>
        <v>43.94876131658539</v>
      </c>
      <c r="E16" s="37">
        <f t="shared" si="2"/>
        <v>165.70530690272142</v>
      </c>
      <c r="F16" s="38">
        <f t="shared" si="3"/>
        <v>29699.246444933204</v>
      </c>
      <c r="G16" t="s">
        <v>20</v>
      </c>
      <c r="H16" s="51">
        <f>1.44*$B$16*$D$5</f>
        <v>14603.328</v>
      </c>
    </row>
    <row r="18" spans="1:17" ht="15.75" thickBot="1" x14ac:dyDescent="0.3"/>
    <row r="19" spans="1:17" ht="31.5" thickTop="1" thickBot="1" x14ac:dyDescent="0.3">
      <c r="D19" s="34" t="s">
        <v>19</v>
      </c>
      <c r="F19" s="34" t="s">
        <v>19</v>
      </c>
    </row>
    <row r="20" spans="1:17" ht="15.75" thickTop="1" x14ac:dyDescent="0.25">
      <c r="D20" s="50">
        <f>SUM(D11:D16)</f>
        <v>1566340.8838101591</v>
      </c>
      <c r="F20" s="50">
        <f>SUM(F11:F16)</f>
        <v>450519.42814650573</v>
      </c>
    </row>
    <row r="22" spans="1:17" x14ac:dyDescent="0.25">
      <c r="C22" s="7" t="s">
        <v>18</v>
      </c>
      <c r="E22" s="6" t="s">
        <v>17</v>
      </c>
      <c r="H22" s="4" t="s">
        <v>16</v>
      </c>
    </row>
    <row r="23" spans="1:17" x14ac:dyDescent="0.25">
      <c r="C23" s="3">
        <f>1.443*D5*C5</f>
        <v>237917.94389999998</v>
      </c>
      <c r="E23" s="3">
        <f>(($E$5*$F$7)/(LN(2)/$F$5))+(($E$5*(1-$F$7))/(LN(2)/($E$7)))</f>
        <v>126862.75363475301</v>
      </c>
      <c r="H23" s="3">
        <f>SUM(H11:H16)</f>
        <v>192201.99925000002</v>
      </c>
    </row>
    <row r="25" spans="1:17" x14ac:dyDescent="0.25">
      <c r="A25" s="27" t="s">
        <v>47</v>
      </c>
      <c r="B25" s="52">
        <v>80</v>
      </c>
      <c r="C25" s="27" t="s">
        <v>52</v>
      </c>
      <c r="D25" s="27">
        <f>0.000134*(B25^(-0.921))</f>
        <v>2.3678758073270261E-6</v>
      </c>
      <c r="Q25" s="24" t="b">
        <f>$F$7&gt;=0</f>
        <v>1</v>
      </c>
    </row>
    <row r="26" spans="1:17" x14ac:dyDescent="0.25">
      <c r="Q26" s="24">
        <f>{32767,32767,0.000001,0.01,FALSE,FALSE,FALSE,1,2,1,0.0001,TRUE}</f>
        <v>32767</v>
      </c>
    </row>
    <row r="27" spans="1:17" x14ac:dyDescent="0.25">
      <c r="C27" s="28" t="s">
        <v>49</v>
      </c>
      <c r="E27" s="30" t="s">
        <v>48</v>
      </c>
      <c r="F27" s="29"/>
      <c r="G27" s="29"/>
      <c r="H27" s="31" t="s">
        <v>50</v>
      </c>
      <c r="Q27" s="24">
        <f>{0,0,1,100,0,FALSE,FALSE,0.075,0,0,FALSE,30}</f>
        <v>0</v>
      </c>
    </row>
    <row r="28" spans="1:17" x14ac:dyDescent="0.25">
      <c r="C28" s="26">
        <f>C23*D25</f>
        <v>0.56336014348979857</v>
      </c>
      <c r="E28" s="25">
        <f>E23*D25</f>
        <v>0.3003952451826204</v>
      </c>
      <c r="H28" s="25">
        <f>H23*D25</f>
        <v>0.45511046414396228</v>
      </c>
    </row>
  </sheetData>
  <mergeCells count="6">
    <mergeCell ref="A2:C2"/>
    <mergeCell ref="C3:D3"/>
    <mergeCell ref="E3:F3"/>
    <mergeCell ref="A9:B9"/>
    <mergeCell ref="C9:D9"/>
    <mergeCell ref="E9:F9"/>
  </mergeCells>
  <phoneticPr fontId="9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34"/>
  <sheetViews>
    <sheetView topLeftCell="C1" workbookViewId="0">
      <selection activeCell="C1" sqref="C1"/>
    </sheetView>
  </sheetViews>
  <sheetFormatPr defaultRowHeight="15" x14ac:dyDescent="0.25"/>
  <cols>
    <col min="2" max="2" width="17.42578125" customWidth="1"/>
    <col min="3" max="3" width="25.5703125" customWidth="1"/>
    <col min="4" max="4" width="13.5703125" customWidth="1"/>
    <col min="5" max="5" width="19.42578125" customWidth="1"/>
    <col min="6" max="6" width="29.140625" customWidth="1"/>
  </cols>
  <sheetData>
    <row r="1" spans="2:6" x14ac:dyDescent="0.25">
      <c r="C1" s="29" t="s">
        <v>65</v>
      </c>
    </row>
    <row r="4" spans="2:6" ht="15.75" thickBot="1" x14ac:dyDescent="0.3">
      <c r="B4" s="72" t="s">
        <v>38</v>
      </c>
      <c r="C4" s="72"/>
      <c r="E4" s="74" t="s">
        <v>37</v>
      </c>
      <c r="F4" s="74"/>
    </row>
    <row r="5" spans="2:6" ht="16.5" thickTop="1" thickBot="1" x14ac:dyDescent="0.3">
      <c r="B5" s="1" t="s">
        <v>7</v>
      </c>
      <c r="C5" s="1" t="s">
        <v>36</v>
      </c>
      <c r="E5" s="13" t="s">
        <v>7</v>
      </c>
      <c r="F5" s="13" t="s">
        <v>35</v>
      </c>
    </row>
    <row r="6" spans="2:6" ht="15.75" thickTop="1" x14ac:dyDescent="0.25">
      <c r="B6">
        <f>A12</f>
        <v>0</v>
      </c>
      <c r="C6" s="11">
        <f>'Case 1 - full'!D5</f>
        <v>30</v>
      </c>
      <c r="E6" s="12">
        <f>D12</f>
        <v>0</v>
      </c>
      <c r="F6" s="11">
        <f>'Case 1 - 24 hour sampling'!D5</f>
        <v>30</v>
      </c>
    </row>
    <row r="10" spans="2:6" x14ac:dyDescent="0.25">
      <c r="C10" s="7" t="s">
        <v>34</v>
      </c>
      <c r="F10" s="15" t="s">
        <v>33</v>
      </c>
    </row>
    <row r="11" spans="2:6" x14ac:dyDescent="0.25">
      <c r="C11" s="9">
        <f>'Case 1 - full'!C41</f>
        <v>237917.94389999998</v>
      </c>
      <c r="F11" s="9">
        <f>'Case 1 - 24 hour sampling'!C23</f>
        <v>237917.94389999998</v>
      </c>
    </row>
    <row r="21" spans="2:5" ht="15.75" thickBot="1" x14ac:dyDescent="0.3">
      <c r="B21" s="75" t="s">
        <v>32</v>
      </c>
      <c r="C21" s="75"/>
      <c r="D21" s="75"/>
      <c r="E21" s="75"/>
    </row>
    <row r="22" spans="2:5" ht="16.5" thickTop="1" thickBot="1" x14ac:dyDescent="0.3">
      <c r="B22" s="13" t="s">
        <v>7</v>
      </c>
      <c r="C22" s="13" t="s">
        <v>31</v>
      </c>
      <c r="D22" s="13" t="s">
        <v>30</v>
      </c>
      <c r="E22" s="14" t="s">
        <v>29</v>
      </c>
    </row>
    <row r="23" spans="2:5" ht="15.75" thickTop="1" x14ac:dyDescent="0.25">
      <c r="B23" s="12">
        <f>'Case 1 - full'!E5</f>
        <v>5495.91</v>
      </c>
      <c r="C23" s="11">
        <f>'Case 1 - full'!F5</f>
        <v>2</v>
      </c>
      <c r="D23" s="11">
        <f>'Case 1 - full'!E7</f>
        <v>30</v>
      </c>
      <c r="E23" s="11">
        <f>'Case 1 - full'!F7</f>
        <v>0.58704419308281419</v>
      </c>
    </row>
    <row r="25" spans="2:5" ht="15.75" thickBot="1" x14ac:dyDescent="0.3">
      <c r="B25" s="75" t="s">
        <v>28</v>
      </c>
      <c r="C25" s="75"/>
      <c r="D25" s="75"/>
      <c r="E25" s="75"/>
    </row>
    <row r="26" spans="2:5" ht="16.5" thickTop="1" thickBot="1" x14ac:dyDescent="0.3">
      <c r="B26" s="13" t="s">
        <v>7</v>
      </c>
      <c r="C26" s="13" t="s">
        <v>27</v>
      </c>
      <c r="D26" s="13" t="s">
        <v>26</v>
      </c>
      <c r="E26" s="13" t="s">
        <v>25</v>
      </c>
    </row>
    <row r="27" spans="2:5" ht="15.75" thickTop="1" x14ac:dyDescent="0.25">
      <c r="B27" s="12">
        <f>'Case 1 - 24 hour sampling'!E5</f>
        <v>5495.91</v>
      </c>
      <c r="C27" s="11">
        <f>'Case 1 - 24 hour sampling'!F5</f>
        <v>2</v>
      </c>
      <c r="D27" s="11">
        <f>'Case 1 - 24 hour sampling'!E7</f>
        <v>30</v>
      </c>
      <c r="E27" s="11">
        <f>'Case 1 - 24 hour sampling'!F7</f>
        <v>0.5</v>
      </c>
    </row>
    <row r="33" spans="2:4" ht="30" x14ac:dyDescent="0.25">
      <c r="B33" s="6" t="s">
        <v>24</v>
      </c>
      <c r="D33" s="10" t="s">
        <v>23</v>
      </c>
    </row>
    <row r="34" spans="2:4" x14ac:dyDescent="0.25">
      <c r="B34" s="9">
        <f>'Case 1 - full'!E41</f>
        <v>107538.08809555139</v>
      </c>
      <c r="D34" s="9">
        <f>'Case 1 - 24 hour sampling'!E23</f>
        <v>126862.75363475301</v>
      </c>
    </row>
  </sheetData>
  <mergeCells count="4">
    <mergeCell ref="B4:C4"/>
    <mergeCell ref="E4:F4"/>
    <mergeCell ref="B21:E21"/>
    <mergeCell ref="B25:E25"/>
  </mergeCells>
  <phoneticPr fontId="9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8"/>
  <sheetViews>
    <sheetView workbookViewId="0">
      <selection activeCell="F7" sqref="F7"/>
    </sheetView>
  </sheetViews>
  <sheetFormatPr defaultRowHeight="15" x14ac:dyDescent="0.25"/>
  <cols>
    <col min="2" max="2" width="12.7109375" customWidth="1"/>
    <col min="3" max="3" width="20.42578125" customWidth="1"/>
    <col min="4" max="4" width="20" customWidth="1"/>
    <col min="5" max="5" width="25.28515625" customWidth="1"/>
    <col min="6" max="6" width="23.28515625" customWidth="1"/>
    <col min="7" max="7" width="12.42578125" customWidth="1"/>
    <col min="8" max="8" width="20.5703125" customWidth="1"/>
  </cols>
  <sheetData>
    <row r="1" spans="1:8" x14ac:dyDescent="0.25">
      <c r="A1" s="29" t="s">
        <v>65</v>
      </c>
    </row>
    <row r="2" spans="1:8" x14ac:dyDescent="0.25">
      <c r="A2" s="65" t="s">
        <v>22</v>
      </c>
      <c r="B2" s="65"/>
      <c r="C2" s="65"/>
      <c r="H2" s="8" t="s">
        <v>21</v>
      </c>
    </row>
    <row r="3" spans="1:8" ht="15.75" thickBot="1" x14ac:dyDescent="0.3">
      <c r="C3" s="72" t="s">
        <v>6</v>
      </c>
      <c r="D3" s="72"/>
      <c r="E3" s="73" t="s">
        <v>10</v>
      </c>
      <c r="F3" s="73"/>
      <c r="H3">
        <v>192.5</v>
      </c>
    </row>
    <row r="4" spans="1:8" ht="16.5" thickTop="1" thickBot="1" x14ac:dyDescent="0.3">
      <c r="C4" s="1" t="s">
        <v>7</v>
      </c>
      <c r="D4" s="1" t="s">
        <v>8</v>
      </c>
      <c r="E4" s="1" t="s">
        <v>7</v>
      </c>
      <c r="F4" s="1" t="s">
        <v>11</v>
      </c>
    </row>
    <row r="5" spans="1:8" ht="16.5" thickTop="1" thickBot="1" x14ac:dyDescent="0.3">
      <c r="C5">
        <f>B11</f>
        <v>5823.05</v>
      </c>
      <c r="D5" s="33">
        <v>30</v>
      </c>
      <c r="E5">
        <f>B11</f>
        <v>5823.05</v>
      </c>
      <c r="F5" s="22">
        <v>2</v>
      </c>
    </row>
    <row r="6" spans="1:8" ht="16.5" thickTop="1" thickBot="1" x14ac:dyDescent="0.3">
      <c r="E6" s="1" t="s">
        <v>12</v>
      </c>
      <c r="F6" s="1" t="s">
        <v>13</v>
      </c>
    </row>
    <row r="7" spans="1:8" ht="15.75" thickTop="1" x14ac:dyDescent="0.25">
      <c r="E7" s="22">
        <v>30</v>
      </c>
      <c r="F7" s="22">
        <v>0.5</v>
      </c>
    </row>
    <row r="9" spans="1:8" ht="15.75" thickBot="1" x14ac:dyDescent="0.3">
      <c r="A9" s="66" t="s">
        <v>4</v>
      </c>
      <c r="B9" s="67"/>
      <c r="C9" s="68" t="s">
        <v>9</v>
      </c>
      <c r="D9" s="69"/>
      <c r="E9" s="70" t="s">
        <v>14</v>
      </c>
      <c r="F9" s="71"/>
      <c r="H9" s="4" t="s">
        <v>5</v>
      </c>
    </row>
    <row r="10" spans="1:8" ht="31.5" thickTop="1" thickBot="1" x14ac:dyDescent="0.3">
      <c r="A10" s="1" t="s">
        <v>0</v>
      </c>
      <c r="B10" s="2" t="s">
        <v>1</v>
      </c>
      <c r="C10" s="2" t="s">
        <v>2</v>
      </c>
      <c r="D10" s="2" t="s">
        <v>3</v>
      </c>
      <c r="E10" s="19" t="s">
        <v>2</v>
      </c>
      <c r="F10" s="19" t="s">
        <v>3</v>
      </c>
      <c r="H10" s="1" t="s">
        <v>15</v>
      </c>
    </row>
    <row r="11" spans="1:8" ht="15.75" thickTop="1" x14ac:dyDescent="0.25">
      <c r="A11" s="5">
        <v>0</v>
      </c>
      <c r="B11" s="5">
        <v>5823.05</v>
      </c>
      <c r="C11" s="53">
        <f>$C$5*EXP((-1)*(LN(2)/$D$5)*($A11-$A$11))</f>
        <v>5823.05</v>
      </c>
      <c r="D11" s="54">
        <f>(B11-C11)^2</f>
        <v>0</v>
      </c>
      <c r="E11" s="37">
        <f>$E$5*(($F$7)*(EXP((-1)*(LN(2)/$F$5)*($A11-$A$11)))+((1-$F$7)*(EXP((-1)*(LN(2)/$E$7)*($A11-$A$11)))))</f>
        <v>5823.05</v>
      </c>
      <c r="F11" s="38">
        <f>(B11-E11)^2</f>
        <v>0</v>
      </c>
      <c r="H11">
        <f>0.5*($B11+$B12)*($A12-$A11)</f>
        <v>30180.908699999996</v>
      </c>
    </row>
    <row r="12" spans="1:8" x14ac:dyDescent="0.25">
      <c r="A12" s="5">
        <v>5.58</v>
      </c>
      <c r="B12" s="5">
        <v>4994.4799999999996</v>
      </c>
      <c r="C12" s="53">
        <f t="shared" ref="C12:C20" si="0">$C$5*EXP((-1)*(LN(2)/$D$5)*($A12-$A$11))</f>
        <v>5118.6913151673816</v>
      </c>
      <c r="D12" s="54">
        <f t="shared" ref="D12:D20" si="1">(B12-C12)^2</f>
        <v>15428.450815610715</v>
      </c>
      <c r="E12" s="37">
        <f t="shared" ref="E12:E20" si="2">$E$5*(($F$7)*(EXP((-1)*(LN(2)/$F$5)*($A12-$A$11)))+((1-$F$7)*(EXP((-1)*(LN(2)/$E$7)*($A12-$A$11)))))</f>
        <v>2980.3114781642962</v>
      </c>
      <c r="F12" s="38">
        <f t="shared" ref="F12:F20" si="3">(B12-E12)^2</f>
        <v>4056874.8343538223</v>
      </c>
      <c r="H12">
        <f t="shared" ref="H12:H19" si="4">0.5*($B12+$B13)*($A13-$A12)</f>
        <v>50116.855799999998</v>
      </c>
    </row>
    <row r="13" spans="1:8" x14ac:dyDescent="0.25">
      <c r="A13" s="5">
        <v>19</v>
      </c>
      <c r="B13" s="5">
        <v>2474.5</v>
      </c>
      <c r="C13" s="53">
        <f t="shared" si="0"/>
        <v>3754.0338872795455</v>
      </c>
      <c r="D13" s="54">
        <f t="shared" si="1"/>
        <v>1637206.9686967046</v>
      </c>
      <c r="E13" s="37">
        <f t="shared" si="2"/>
        <v>1881.0379574505037</v>
      </c>
      <c r="F13" s="38">
        <f t="shared" si="3"/>
        <v>352197.1959470202</v>
      </c>
      <c r="H13">
        <f t="shared" si="4"/>
        <v>14307.058499999996</v>
      </c>
    </row>
    <row r="14" spans="1:8" x14ac:dyDescent="0.25">
      <c r="A14" s="5">
        <v>25.58</v>
      </c>
      <c r="B14" s="5">
        <v>1874.15</v>
      </c>
      <c r="C14" s="53">
        <f t="shared" si="0"/>
        <v>3224.5734679467282</v>
      </c>
      <c r="D14" s="54">
        <f t="shared" si="1"/>
        <v>1823643.5427812678</v>
      </c>
      <c r="E14" s="37">
        <f t="shared" si="2"/>
        <v>1612.6978334075247</v>
      </c>
      <c r="F14" s="38">
        <f t="shared" si="3"/>
        <v>68357.235415899486</v>
      </c>
      <c r="H14">
        <f t="shared" si="4"/>
        <v>6906.5663999999997</v>
      </c>
    </row>
    <row r="15" spans="1:8" x14ac:dyDescent="0.25">
      <c r="A15" s="5">
        <v>29.419999999999998</v>
      </c>
      <c r="B15" s="5">
        <v>1723.02</v>
      </c>
      <c r="C15" s="53">
        <f t="shared" si="0"/>
        <v>2950.8044980854406</v>
      </c>
      <c r="D15" s="54">
        <f t="shared" si="1"/>
        <v>1507454.7737389174</v>
      </c>
      <c r="E15" s="37">
        <f t="shared" si="2"/>
        <v>1475.5108839223133</v>
      </c>
      <c r="F15" s="38">
        <f t="shared" si="3"/>
        <v>61260.762541557793</v>
      </c>
      <c r="H15">
        <f t="shared" si="4"/>
        <v>16636.051250000004</v>
      </c>
    </row>
    <row r="16" spans="1:8" x14ac:dyDescent="0.25">
      <c r="A16" s="5">
        <v>41.67</v>
      </c>
      <c r="B16" s="5">
        <v>993.07</v>
      </c>
      <c r="C16" s="53">
        <f t="shared" si="0"/>
        <v>2223.4115391250143</v>
      </c>
      <c r="D16" s="54">
        <f t="shared" si="1"/>
        <v>1513740.3028965087</v>
      </c>
      <c r="E16" s="37">
        <f t="shared" si="2"/>
        <v>1111.7073261035043</v>
      </c>
      <c r="F16" s="38">
        <f t="shared" si="3"/>
        <v>14074.815144989218</v>
      </c>
      <c r="H16">
        <f t="shared" si="4"/>
        <v>3954.4960000000037</v>
      </c>
    </row>
    <row r="17" spans="1:8" x14ac:dyDescent="0.25">
      <c r="A17" s="5">
        <v>45.830000000000005</v>
      </c>
      <c r="B17" s="5">
        <v>908.13</v>
      </c>
      <c r="C17" s="53">
        <f t="shared" si="0"/>
        <v>2019.6542565138725</v>
      </c>
      <c r="D17" s="54">
        <f t="shared" si="1"/>
        <v>1235486.1728187168</v>
      </c>
      <c r="E17" s="37">
        <f t="shared" si="2"/>
        <v>1009.8274964013144</v>
      </c>
      <c r="F17" s="38">
        <f t="shared" si="3"/>
        <v>10342.38077429536</v>
      </c>
      <c r="H17">
        <f t="shared" si="4"/>
        <v>2451.1647999999955</v>
      </c>
    </row>
    <row r="18" spans="1:8" x14ac:dyDescent="0.25">
      <c r="A18" s="5">
        <v>48.75</v>
      </c>
      <c r="B18" s="5">
        <v>770.75</v>
      </c>
      <c r="C18" s="53">
        <f t="shared" si="0"/>
        <v>1887.8903921776407</v>
      </c>
      <c r="D18" s="54">
        <f t="shared" si="1"/>
        <v>1248002.6558348129</v>
      </c>
      <c r="E18" s="37">
        <f t="shared" si="2"/>
        <v>943.94532990677237</v>
      </c>
      <c r="F18" s="38">
        <f t="shared" si="3"/>
        <v>29996.622301515719</v>
      </c>
      <c r="H18">
        <f t="shared" si="4"/>
        <v>10283.750400000001</v>
      </c>
    </row>
    <row r="19" spans="1:8" x14ac:dyDescent="0.25">
      <c r="A19" s="5">
        <v>66.67</v>
      </c>
      <c r="B19" s="5">
        <v>376.99</v>
      </c>
      <c r="C19" s="53">
        <f t="shared" si="0"/>
        <v>1247.8475352204798</v>
      </c>
      <c r="D19" s="54">
        <f t="shared" si="1"/>
        <v>758392.84665028926</v>
      </c>
      <c r="E19" s="37">
        <f t="shared" si="2"/>
        <v>623.92376787895103</v>
      </c>
      <c r="F19" s="38">
        <f t="shared" si="3"/>
        <v>60976.285718895662</v>
      </c>
      <c r="H19">
        <f t="shared" si="4"/>
        <v>722.33334999999875</v>
      </c>
    </row>
    <row r="20" spans="1:8" x14ac:dyDescent="0.25">
      <c r="A20" s="5">
        <v>68.58</v>
      </c>
      <c r="B20" s="5">
        <v>379.38</v>
      </c>
      <c r="C20" s="53">
        <f t="shared" si="0"/>
        <v>1193.9769676360245</v>
      </c>
      <c r="D20" s="54">
        <f t="shared" si="1"/>
        <v>663568.21968180628</v>
      </c>
      <c r="E20" s="37">
        <f t="shared" si="2"/>
        <v>596.98848395662458</v>
      </c>
      <c r="F20" s="38">
        <f t="shared" si="3"/>
        <v>47353.452289900539</v>
      </c>
      <c r="G20" t="s">
        <v>20</v>
      </c>
      <c r="H20" s="51">
        <f>1.44*$B$20*$D$5</f>
        <v>16389.216</v>
      </c>
    </row>
    <row r="28" spans="1:8" ht="15.75" thickBot="1" x14ac:dyDescent="0.3"/>
    <row r="29" spans="1:8" ht="31.5" thickTop="1" thickBot="1" x14ac:dyDescent="0.3">
      <c r="D29" s="34" t="s">
        <v>19</v>
      </c>
      <c r="F29" s="34" t="s">
        <v>19</v>
      </c>
    </row>
    <row r="30" spans="1:8" ht="15.75" thickTop="1" x14ac:dyDescent="0.25">
      <c r="D30" s="50">
        <f>SUM(D11:D20)</f>
        <v>10402923.933914635</v>
      </c>
      <c r="F30" s="50">
        <f>SUM(F11:F20)</f>
        <v>4701433.5844878964</v>
      </c>
    </row>
    <row r="32" spans="1:8" x14ac:dyDescent="0.25">
      <c r="C32" s="7" t="s">
        <v>18</v>
      </c>
      <c r="E32" s="6" t="s">
        <v>17</v>
      </c>
      <c r="H32" s="4" t="s">
        <v>16</v>
      </c>
    </row>
    <row r="33" spans="1:17" x14ac:dyDescent="0.25">
      <c r="C33" s="3">
        <f>1.443*D5*C5</f>
        <v>252079.8345</v>
      </c>
      <c r="E33" s="3">
        <f>(($E$5*$F$7)/(LN(2)/$F$5))+(($E$5*(1-$F$7))/(LN(2)/($E$7)))</f>
        <v>134414.16572557567</v>
      </c>
      <c r="H33" s="3">
        <f>SUM(H11:H27)</f>
        <v>151948.40119999996</v>
      </c>
    </row>
    <row r="35" spans="1:17" x14ac:dyDescent="0.25">
      <c r="A35" s="27" t="s">
        <v>47</v>
      </c>
      <c r="B35" s="52">
        <v>80</v>
      </c>
      <c r="C35" s="27" t="s">
        <v>52</v>
      </c>
      <c r="D35" s="27">
        <f>0.000134*(B35^(-0.921))</f>
        <v>2.3678758073270261E-6</v>
      </c>
      <c r="Q35" s="24" t="b">
        <f>$F$7&gt;=0</f>
        <v>1</v>
      </c>
    </row>
    <row r="36" spans="1:17" x14ac:dyDescent="0.25">
      <c r="Q36" s="24">
        <f>{32767,32767,0.000001,0.01,FALSE,FALSE,FALSE,1,2,1,0.0001,TRUE}</f>
        <v>32767</v>
      </c>
    </row>
    <row r="37" spans="1:17" x14ac:dyDescent="0.25">
      <c r="C37" s="28" t="s">
        <v>49</v>
      </c>
      <c r="E37" s="30" t="s">
        <v>48</v>
      </c>
      <c r="F37" s="29"/>
      <c r="G37" s="29"/>
      <c r="H37" s="31" t="s">
        <v>50</v>
      </c>
      <c r="Q37" s="24">
        <f>{0,0,1,100,0,FALSE,FALSE,0.075,0,0,FALSE,30}</f>
        <v>0</v>
      </c>
    </row>
    <row r="38" spans="1:17" x14ac:dyDescent="0.25">
      <c r="C38" s="26">
        <f>C33*D35</f>
        <v>0.5968937416275506</v>
      </c>
      <c r="E38" s="25">
        <f>E33*D35</f>
        <v>0.31827605118363617</v>
      </c>
      <c r="H38" s="25">
        <f>H33*D35</f>
        <v>0.3597949431635008</v>
      </c>
    </row>
  </sheetData>
  <mergeCells count="6">
    <mergeCell ref="A2:C2"/>
    <mergeCell ref="C3:D3"/>
    <mergeCell ref="E3:F3"/>
    <mergeCell ref="A9:B9"/>
    <mergeCell ref="C9:D9"/>
    <mergeCell ref="E9:F9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9"/>
  <sheetViews>
    <sheetView workbookViewId="0">
      <selection activeCell="G5" sqref="G5"/>
    </sheetView>
  </sheetViews>
  <sheetFormatPr defaultRowHeight="15" x14ac:dyDescent="0.25"/>
  <cols>
    <col min="2" max="2" width="12.7109375" customWidth="1"/>
    <col min="3" max="3" width="20.42578125" customWidth="1"/>
    <col min="4" max="4" width="20" customWidth="1"/>
    <col min="5" max="5" width="25.28515625" customWidth="1"/>
    <col min="6" max="6" width="23.28515625" customWidth="1"/>
    <col min="7" max="7" width="12.42578125" customWidth="1"/>
    <col min="8" max="8" width="20.5703125" customWidth="1"/>
  </cols>
  <sheetData>
    <row r="1" spans="1:8" s="29" customFormat="1" x14ac:dyDescent="0.25">
      <c r="A1" s="29" t="s">
        <v>65</v>
      </c>
    </row>
    <row r="2" spans="1:8" x14ac:dyDescent="0.25">
      <c r="A2" s="65" t="s">
        <v>22</v>
      </c>
      <c r="B2" s="65"/>
      <c r="C2" s="65"/>
      <c r="H2" s="8" t="s">
        <v>21</v>
      </c>
    </row>
    <row r="3" spans="1:8" ht="15.75" thickBot="1" x14ac:dyDescent="0.3">
      <c r="C3" s="72" t="s">
        <v>6</v>
      </c>
      <c r="D3" s="72"/>
      <c r="E3" s="73" t="s">
        <v>10</v>
      </c>
      <c r="F3" s="73"/>
      <c r="H3">
        <v>192.5</v>
      </c>
    </row>
    <row r="4" spans="1:8" ht="16.5" thickTop="1" thickBot="1" x14ac:dyDescent="0.3">
      <c r="C4" s="1" t="s">
        <v>7</v>
      </c>
      <c r="D4" s="1" t="s">
        <v>8</v>
      </c>
      <c r="E4" s="1" t="s">
        <v>7</v>
      </c>
      <c r="F4" s="1" t="s">
        <v>11</v>
      </c>
    </row>
    <row r="5" spans="1:8" ht="16.5" thickTop="1" thickBot="1" x14ac:dyDescent="0.3">
      <c r="C5">
        <f>B11</f>
        <v>5823.05</v>
      </c>
      <c r="D5" s="33">
        <v>30</v>
      </c>
      <c r="E5">
        <f>B11</f>
        <v>5823.05</v>
      </c>
      <c r="F5" s="22">
        <v>2</v>
      </c>
    </row>
    <row r="6" spans="1:8" ht="16.5" thickTop="1" thickBot="1" x14ac:dyDescent="0.3">
      <c r="E6" s="1" t="s">
        <v>12</v>
      </c>
      <c r="F6" s="1" t="s">
        <v>13</v>
      </c>
    </row>
    <row r="7" spans="1:8" ht="15.75" thickTop="1" x14ac:dyDescent="0.25">
      <c r="E7" s="22">
        <v>30</v>
      </c>
      <c r="F7" s="22">
        <v>0.5</v>
      </c>
    </row>
    <row r="9" spans="1:8" ht="15.75" thickBot="1" x14ac:dyDescent="0.3">
      <c r="A9" s="66" t="s">
        <v>4</v>
      </c>
      <c r="B9" s="67"/>
      <c r="C9" s="68" t="s">
        <v>9</v>
      </c>
      <c r="D9" s="69"/>
      <c r="E9" s="70" t="s">
        <v>14</v>
      </c>
      <c r="F9" s="71"/>
      <c r="H9" s="4" t="s">
        <v>5</v>
      </c>
    </row>
    <row r="10" spans="1:8" ht="31.5" thickTop="1" thickBot="1" x14ac:dyDescent="0.3">
      <c r="A10" s="1" t="s">
        <v>0</v>
      </c>
      <c r="B10" s="2" t="s">
        <v>1</v>
      </c>
      <c r="C10" s="2" t="s">
        <v>2</v>
      </c>
      <c r="D10" s="2" t="s">
        <v>3</v>
      </c>
      <c r="E10" s="19" t="s">
        <v>2</v>
      </c>
      <c r="F10" s="19" t="s">
        <v>3</v>
      </c>
      <c r="H10" s="1" t="s">
        <v>15</v>
      </c>
    </row>
    <row r="11" spans="1:8" ht="15.75" thickTop="1" x14ac:dyDescent="0.25">
      <c r="A11" s="5">
        <v>0.05</v>
      </c>
      <c r="B11" s="5">
        <v>5823.05</v>
      </c>
      <c r="C11" s="53">
        <f>$C$5*EXP((-1)*(LN(2)/$D$5)*($A11-$A$11))</f>
        <v>5823.05</v>
      </c>
      <c r="D11" s="54">
        <f>(B11-C11)^2</f>
        <v>0</v>
      </c>
      <c r="E11" s="37">
        <f>$E$5*(($F$7)*(EXP((-1)*(LN(2)/$F$5)*($A11-$A$11)))+((1-$F$7)*(EXP((-1)*(LN(2)/$E$7)*($A11-$A$11)))))</f>
        <v>5823.05</v>
      </c>
      <c r="F11" s="39">
        <f>(B11-E11)^2</f>
        <v>0</v>
      </c>
      <c r="H11">
        <f>0.5*($B11+$B12)*($A12-$A11)</f>
        <v>98447.188000000009</v>
      </c>
    </row>
    <row r="12" spans="1:8" x14ac:dyDescent="0.25">
      <c r="A12" s="5">
        <v>25.63</v>
      </c>
      <c r="B12" s="5">
        <v>1874.15</v>
      </c>
      <c r="C12" s="53">
        <f>$C$5*EXP((-1)*(LN(2)/$D$5)*($A12-$A$11))</f>
        <v>3224.5734679467282</v>
      </c>
      <c r="D12" s="54">
        <f>(B12-C12)^2</f>
        <v>1823643.5427812678</v>
      </c>
      <c r="E12" s="37">
        <f>$E$5*(($F$7)*(EXP((-1)*(LN(2)/$F$5)*($A12-$A$11)))+((1-$F$7)*(EXP((-1)*(LN(2)/$E$7)*($A12-$A$11)))))</f>
        <v>1612.6978334075247</v>
      </c>
      <c r="F12" s="39">
        <f>(B12-E12)^2</f>
        <v>68357.235415899486</v>
      </c>
      <c r="H12">
        <f>0.5*($B12+$B13)*($A13-$A12)</f>
        <v>30641.166499999999</v>
      </c>
    </row>
    <row r="13" spans="1:8" x14ac:dyDescent="0.25">
      <c r="A13" s="5">
        <v>48.8</v>
      </c>
      <c r="B13" s="5">
        <v>770.75</v>
      </c>
      <c r="C13" s="53">
        <f>$C$5*EXP((-1)*(LN(2)/$D$5)*($A13-$A$11))</f>
        <v>1887.8903921776407</v>
      </c>
      <c r="D13" s="54">
        <f>(B13-C13)^2</f>
        <v>1248002.6558348129</v>
      </c>
      <c r="E13" s="37">
        <f>$E$5*(($F$7)*(EXP((-1)*(LN(2)/$F$5)*($A13-$A$11)))+((1-$F$7)*(EXP((-1)*(LN(2)/$E$7)*($A13-$A$11)))))</f>
        <v>943.94532990677237</v>
      </c>
      <c r="F13" s="39">
        <f>(B13-E13)^2</f>
        <v>29996.622301515719</v>
      </c>
      <c r="H13">
        <f>0.5*($B13+$B14)*($A14-$A13)</f>
        <v>11403.53895</v>
      </c>
    </row>
    <row r="14" spans="1:8" x14ac:dyDescent="0.25">
      <c r="A14" s="5">
        <v>68.63</v>
      </c>
      <c r="B14" s="5">
        <v>379.38</v>
      </c>
      <c r="C14" s="53">
        <f>$C$5*EXP((-1)*(LN(2)/$D$5)*($A14-$A$11))</f>
        <v>1193.9769676360245</v>
      </c>
      <c r="D14" s="54">
        <f>(B14-C14)^2</f>
        <v>663568.21968180628</v>
      </c>
      <c r="E14" s="37">
        <f>$E$5*(($F$7)*(EXP((-1)*(LN(2)/$F$5)*($A14-$A$11)))+((1-$F$7)*(EXP((-1)*(LN(2)/$E$7)*($A14-$A$11)))))</f>
        <v>596.98848395662458</v>
      </c>
      <c r="F14" s="39">
        <f>(B14-E14)^2</f>
        <v>47353.452289900539</v>
      </c>
      <c r="G14" t="s">
        <v>20</v>
      </c>
      <c r="H14" s="51">
        <f>1.44*$B$14*H3</f>
        <v>105164.136</v>
      </c>
    </row>
    <row r="19" spans="1:17" ht="15.75" thickBot="1" x14ac:dyDescent="0.3"/>
    <row r="20" spans="1:17" ht="31.5" thickTop="1" thickBot="1" x14ac:dyDescent="0.3">
      <c r="D20" s="34" t="s">
        <v>19</v>
      </c>
      <c r="F20" s="34" t="s">
        <v>19</v>
      </c>
    </row>
    <row r="21" spans="1:17" ht="15.75" thickTop="1" x14ac:dyDescent="0.25">
      <c r="D21" s="50">
        <f>SUM(D11:D17)</f>
        <v>3735214.4182978873</v>
      </c>
      <c r="F21" s="50">
        <f>SUM(F11:F17)</f>
        <v>145707.31000731574</v>
      </c>
    </row>
    <row r="23" spans="1:17" x14ac:dyDescent="0.25">
      <c r="C23" s="7" t="s">
        <v>18</v>
      </c>
      <c r="E23" s="6" t="s">
        <v>17</v>
      </c>
      <c r="H23" s="4" t="s">
        <v>16</v>
      </c>
    </row>
    <row r="24" spans="1:17" x14ac:dyDescent="0.25">
      <c r="C24" s="3">
        <f>1.443*D5*C5</f>
        <v>252079.8345</v>
      </c>
      <c r="E24" s="3">
        <f>(($E$5*$F$7)/(LN(2)/$F$5))+(($E$5*(1-$F$7))/(LN(2)/($E$7)))</f>
        <v>134414.16572557567</v>
      </c>
      <c r="H24" s="3">
        <f>SUM(H11:H18)</f>
        <v>245656.02945</v>
      </c>
    </row>
    <row r="26" spans="1:17" x14ac:dyDescent="0.25">
      <c r="A26" s="27" t="s">
        <v>47</v>
      </c>
      <c r="B26" s="52">
        <v>80</v>
      </c>
      <c r="C26" s="27" t="s">
        <v>52</v>
      </c>
      <c r="D26" s="27">
        <f>0.000134*(B26^(-0.921))</f>
        <v>2.3678758073270261E-6</v>
      </c>
      <c r="Q26" s="24" t="b">
        <f>$F$7&gt;=0</f>
        <v>1</v>
      </c>
    </row>
    <row r="27" spans="1:17" x14ac:dyDescent="0.25">
      <c r="Q27" s="24">
        <f>{32767,32767,0.000001,0.01,FALSE,FALSE,FALSE,1,2,1,0.0001,TRUE}</f>
        <v>32767</v>
      </c>
    </row>
    <row r="28" spans="1:17" x14ac:dyDescent="0.25">
      <c r="C28" s="28" t="s">
        <v>49</v>
      </c>
      <c r="E28" s="30" t="s">
        <v>48</v>
      </c>
      <c r="F28" s="29"/>
      <c r="G28" s="29"/>
      <c r="H28" s="31" t="s">
        <v>50</v>
      </c>
      <c r="Q28" s="24">
        <f>{0,0,1,100,0,FALSE,FALSE,0.075,0,0,FALSE,30}</f>
        <v>0</v>
      </c>
    </row>
    <row r="29" spans="1:17" x14ac:dyDescent="0.25">
      <c r="C29" s="26">
        <f>C24*D26</f>
        <v>0.5968937416275506</v>
      </c>
      <c r="E29" s="25">
        <f>E24*D26</f>
        <v>0.31827605118363617</v>
      </c>
      <c r="H29" s="25">
        <f>H24*D26</f>
        <v>0.58168296905867045</v>
      </c>
    </row>
  </sheetData>
  <mergeCells count="6">
    <mergeCell ref="A2:C2"/>
    <mergeCell ref="C3:D3"/>
    <mergeCell ref="E3:F3"/>
    <mergeCell ref="A9:B9"/>
    <mergeCell ref="C9:D9"/>
    <mergeCell ref="E9:F9"/>
  </mergeCells>
  <phoneticPr fontId="9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4"/>
  <sheetViews>
    <sheetView topLeftCell="A18" zoomScaleNormal="100" workbookViewId="0"/>
  </sheetViews>
  <sheetFormatPr defaultRowHeight="15" x14ac:dyDescent="0.25"/>
  <cols>
    <col min="2" max="2" width="17.42578125" customWidth="1"/>
    <col min="3" max="3" width="25.5703125" customWidth="1"/>
    <col min="4" max="4" width="13.5703125" customWidth="1"/>
    <col min="5" max="5" width="19.42578125" customWidth="1"/>
    <col min="6" max="6" width="29.140625" customWidth="1"/>
  </cols>
  <sheetData>
    <row r="1" spans="1:6" x14ac:dyDescent="0.25">
      <c r="A1" s="29" t="s">
        <v>65</v>
      </c>
    </row>
    <row r="4" spans="1:6" ht="15.75" thickBot="1" x14ac:dyDescent="0.3">
      <c r="B4" s="72" t="s">
        <v>38</v>
      </c>
      <c r="C4" s="72"/>
      <c r="E4" s="74" t="s">
        <v>37</v>
      </c>
      <c r="F4" s="74"/>
    </row>
    <row r="5" spans="1:6" ht="16.5" thickTop="1" thickBot="1" x14ac:dyDescent="0.3">
      <c r="B5" s="1" t="s">
        <v>7</v>
      </c>
      <c r="C5" s="1" t="s">
        <v>36</v>
      </c>
      <c r="E5" s="13" t="s">
        <v>7</v>
      </c>
      <c r="F5" s="13" t="s">
        <v>35</v>
      </c>
    </row>
    <row r="6" spans="1:6" ht="15.75" thickTop="1" x14ac:dyDescent="0.25">
      <c r="B6">
        <f>A12</f>
        <v>0</v>
      </c>
      <c r="C6" s="11">
        <f>'Case 2 - full '!D5</f>
        <v>30</v>
      </c>
      <c r="E6" s="12">
        <f>D12</f>
        <v>0</v>
      </c>
      <c r="F6" s="11">
        <f>'Case 2 - 24 hours'!D5</f>
        <v>30</v>
      </c>
    </row>
    <row r="10" spans="1:6" x14ac:dyDescent="0.25">
      <c r="C10" s="7" t="s">
        <v>34</v>
      </c>
      <c r="F10" s="15" t="s">
        <v>33</v>
      </c>
    </row>
    <row r="11" spans="1:6" x14ac:dyDescent="0.25">
      <c r="C11" s="9">
        <f>'Case 2 - full '!C33</f>
        <v>252079.8345</v>
      </c>
      <c r="F11" s="9">
        <f>'Case 2 - 24 hours'!C24</f>
        <v>252079.8345</v>
      </c>
    </row>
    <row r="21" spans="2:5" ht="15.75" thickBot="1" x14ac:dyDescent="0.3">
      <c r="B21" s="75" t="s">
        <v>32</v>
      </c>
      <c r="C21" s="75"/>
      <c r="D21" s="75"/>
      <c r="E21" s="75"/>
    </row>
    <row r="22" spans="2:5" ht="16.5" thickTop="1" thickBot="1" x14ac:dyDescent="0.3">
      <c r="B22" s="13" t="s">
        <v>7</v>
      </c>
      <c r="C22" s="13" t="s">
        <v>31</v>
      </c>
      <c r="D22" s="13" t="s">
        <v>30</v>
      </c>
      <c r="E22" s="14" t="s">
        <v>29</v>
      </c>
    </row>
    <row r="23" spans="2:5" ht="15.75" thickTop="1" x14ac:dyDescent="0.25">
      <c r="B23" s="12">
        <f>'Case 1 - full'!E5</f>
        <v>5495.91</v>
      </c>
      <c r="C23" s="11">
        <f>'Case 2 - full '!F5</f>
        <v>2</v>
      </c>
      <c r="D23" s="11">
        <f>'Case 2 - full '!E7</f>
        <v>30</v>
      </c>
      <c r="E23" s="11">
        <f>'Case 2 - full '!F7</f>
        <v>0.5</v>
      </c>
    </row>
    <row r="25" spans="2:5" ht="15.75" thickBot="1" x14ac:dyDescent="0.3">
      <c r="B25" s="75" t="s">
        <v>28</v>
      </c>
      <c r="C25" s="75"/>
      <c r="D25" s="75"/>
      <c r="E25" s="75"/>
    </row>
    <row r="26" spans="2:5" ht="16.5" thickTop="1" thickBot="1" x14ac:dyDescent="0.3">
      <c r="B26" s="13" t="s">
        <v>7</v>
      </c>
      <c r="C26" s="13" t="s">
        <v>27</v>
      </c>
      <c r="D26" s="13" t="s">
        <v>26</v>
      </c>
      <c r="E26" s="13" t="s">
        <v>25</v>
      </c>
    </row>
    <row r="27" spans="2:5" ht="15.75" thickTop="1" x14ac:dyDescent="0.25">
      <c r="B27" s="12">
        <f>'Case 1 - 24 hour sampling'!E5</f>
        <v>5495.91</v>
      </c>
      <c r="C27" s="11">
        <f>'Case 2 - 24 hours'!F5</f>
        <v>2</v>
      </c>
      <c r="D27" s="11">
        <f>'Case 2 - 24 hours'!E7</f>
        <v>30</v>
      </c>
      <c r="E27" s="11">
        <f>'Case 2 - 24 hours'!F7</f>
        <v>0.5</v>
      </c>
    </row>
    <row r="33" spans="2:4" ht="30" x14ac:dyDescent="0.25">
      <c r="B33" s="6" t="s">
        <v>24</v>
      </c>
      <c r="D33" s="10" t="s">
        <v>23</v>
      </c>
    </row>
    <row r="34" spans="2:4" x14ac:dyDescent="0.25">
      <c r="B34" s="9">
        <f>'Case 2 - full '!E33</f>
        <v>134414.16572557567</v>
      </c>
      <c r="D34" s="9">
        <f>'Case 2 - 24 hours'!E24</f>
        <v>134414.16572557567</v>
      </c>
    </row>
  </sheetData>
  <mergeCells count="4">
    <mergeCell ref="B4:C4"/>
    <mergeCell ref="E4:F4"/>
    <mergeCell ref="B21:E21"/>
    <mergeCell ref="B25:E25"/>
  </mergeCells>
  <phoneticPr fontId="9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8"/>
  <sheetViews>
    <sheetView workbookViewId="0">
      <selection activeCell="G32" sqref="G32"/>
    </sheetView>
  </sheetViews>
  <sheetFormatPr defaultRowHeight="15" x14ac:dyDescent="0.25"/>
  <cols>
    <col min="2" max="2" width="12.7109375" customWidth="1"/>
    <col min="3" max="3" width="20.42578125" customWidth="1"/>
    <col min="4" max="4" width="20" customWidth="1"/>
    <col min="5" max="5" width="25.28515625" customWidth="1"/>
    <col min="6" max="6" width="23.28515625" customWidth="1"/>
    <col min="7" max="7" width="12.42578125" customWidth="1"/>
    <col min="8" max="8" width="20.5703125" customWidth="1"/>
  </cols>
  <sheetData>
    <row r="1" spans="1:8" x14ac:dyDescent="0.25">
      <c r="A1" s="29" t="s">
        <v>65</v>
      </c>
    </row>
    <row r="2" spans="1:8" x14ac:dyDescent="0.25">
      <c r="A2" s="65" t="s">
        <v>22</v>
      </c>
      <c r="B2" s="65"/>
      <c r="C2" s="65"/>
      <c r="H2" s="8" t="s">
        <v>21</v>
      </c>
    </row>
    <row r="3" spans="1:8" ht="15.75" thickBot="1" x14ac:dyDescent="0.3">
      <c r="C3" s="72" t="s">
        <v>6</v>
      </c>
      <c r="D3" s="72"/>
      <c r="E3" s="73" t="s">
        <v>10</v>
      </c>
      <c r="F3" s="73"/>
      <c r="H3">
        <v>192.5</v>
      </c>
    </row>
    <row r="4" spans="1:8" ht="16.5" thickTop="1" thickBot="1" x14ac:dyDescent="0.3">
      <c r="C4" s="1" t="s">
        <v>7</v>
      </c>
      <c r="D4" s="1" t="s">
        <v>8</v>
      </c>
      <c r="E4" s="1" t="s">
        <v>7</v>
      </c>
      <c r="F4" s="1" t="s">
        <v>11</v>
      </c>
    </row>
    <row r="5" spans="1:8" ht="16.5" thickTop="1" thickBot="1" x14ac:dyDescent="0.3">
      <c r="C5">
        <f>B11</f>
        <v>5728.01</v>
      </c>
      <c r="D5" s="33">
        <v>30</v>
      </c>
      <c r="E5">
        <f>B11</f>
        <v>5728.01</v>
      </c>
      <c r="F5" s="22">
        <v>2</v>
      </c>
    </row>
    <row r="6" spans="1:8" ht="16.5" thickTop="1" thickBot="1" x14ac:dyDescent="0.3">
      <c r="E6" s="1" t="s">
        <v>12</v>
      </c>
      <c r="F6" s="1" t="s">
        <v>13</v>
      </c>
    </row>
    <row r="7" spans="1:8" ht="15.75" thickTop="1" x14ac:dyDescent="0.25">
      <c r="E7" s="22">
        <v>30</v>
      </c>
      <c r="F7" s="22">
        <v>0.5</v>
      </c>
    </row>
    <row r="9" spans="1:8" ht="15.75" thickBot="1" x14ac:dyDescent="0.3">
      <c r="A9" s="66" t="s">
        <v>4</v>
      </c>
      <c r="B9" s="67"/>
      <c r="C9" s="68" t="s">
        <v>9</v>
      </c>
      <c r="D9" s="69"/>
      <c r="E9" s="70" t="s">
        <v>14</v>
      </c>
      <c r="F9" s="71"/>
      <c r="H9" s="4" t="s">
        <v>5</v>
      </c>
    </row>
    <row r="10" spans="1:8" ht="31.5" thickTop="1" thickBot="1" x14ac:dyDescent="0.3">
      <c r="A10" s="1" t="s">
        <v>0</v>
      </c>
      <c r="B10" s="2" t="s">
        <v>1</v>
      </c>
      <c r="C10" s="2" t="s">
        <v>2</v>
      </c>
      <c r="D10" s="2" t="s">
        <v>3</v>
      </c>
      <c r="E10" s="19" t="s">
        <v>2</v>
      </c>
      <c r="F10" s="1" t="s">
        <v>3</v>
      </c>
      <c r="H10" s="1" t="s">
        <v>15</v>
      </c>
    </row>
    <row r="11" spans="1:8" ht="15.75" thickTop="1" x14ac:dyDescent="0.25">
      <c r="A11" s="5">
        <v>0</v>
      </c>
      <c r="B11" s="5">
        <v>5728.01</v>
      </c>
      <c r="C11" s="35">
        <f>$C$5*EXP((-1)*(LN(2)/$D$5)*($A11-$A$11))</f>
        <v>5728.01</v>
      </c>
      <c r="D11" s="36">
        <f>(B11-C11)^2</f>
        <v>0</v>
      </c>
      <c r="E11" s="37">
        <f>$E$5*(($F$7)*(EXP((-1)*(LN(2)/$F$5)*($A11-$A$11)))+((1-$F$7)*(EXP((-1)*(LN(2)/$E$7)*($A11-$A$11)))))</f>
        <v>5728.01</v>
      </c>
      <c r="F11" s="40">
        <f>(B11-E11)^2</f>
        <v>0</v>
      </c>
      <c r="H11">
        <f>0.5*($B11+$B12)*($A12-$A11)</f>
        <v>4716.8497500000003</v>
      </c>
    </row>
    <row r="12" spans="1:8" x14ac:dyDescent="0.25">
      <c r="A12" s="5">
        <v>0.85</v>
      </c>
      <c r="B12" s="5">
        <v>5370.46</v>
      </c>
      <c r="C12" s="35">
        <f t="shared" ref="C12:C25" si="0">$C$5*EXP((-1)*(LN(2)/$D$5)*($A12-$A$11))</f>
        <v>5616.6140793027298</v>
      </c>
      <c r="D12" s="36">
        <f t="shared" ref="D12:D25" si="1">(B12-C12)^2</f>
        <v>60591.830757374577</v>
      </c>
      <c r="E12" s="37">
        <f t="shared" ref="E12:E25" si="2">$E$5*(($F$7)*(EXP((-1)*(LN(2)/$F$5)*($A12-$A$11)))+((1-$F$7)*(EXP((-1)*(LN(2)/$E$7)*($A12-$A$11)))))</f>
        <v>4941.5288910367326</v>
      </c>
      <c r="F12" s="40">
        <f t="shared" ref="F12:F25" si="3">(B12-E12)^2</f>
        <v>183981.89623645839</v>
      </c>
      <c r="H12">
        <f t="shared" ref="H12:H24" si="4">0.5*($B12+$B13)*($A13-$A12)</f>
        <v>7474.1025000000009</v>
      </c>
    </row>
    <row r="13" spans="1:8" x14ac:dyDescent="0.25">
      <c r="A13" s="5">
        <v>2.35</v>
      </c>
      <c r="B13" s="5">
        <v>4595.01</v>
      </c>
      <c r="C13" s="35">
        <f t="shared" si="0"/>
        <v>5425.2915847492804</v>
      </c>
      <c r="D13" s="36">
        <f t="shared" si="1"/>
        <v>689367.50997377618</v>
      </c>
      <c r="E13" s="37">
        <f t="shared" si="2"/>
        <v>3981.0670941480184</v>
      </c>
      <c r="F13" s="40">
        <f t="shared" si="3"/>
        <v>376925.89164597535</v>
      </c>
      <c r="H13">
        <f t="shared" si="4"/>
        <v>11142.447400000003</v>
      </c>
    </row>
    <row r="14" spans="1:8" x14ac:dyDescent="0.25">
      <c r="A14" s="5">
        <v>5.0100000000000007</v>
      </c>
      <c r="B14" s="5">
        <v>3782.77</v>
      </c>
      <c r="C14" s="35">
        <f t="shared" si="0"/>
        <v>5101.8978416040745</v>
      </c>
      <c r="D14" s="36">
        <f t="shared" si="1"/>
        <v>1740098.2624950244</v>
      </c>
      <c r="E14" s="37">
        <f t="shared" si="2"/>
        <v>3055.486631968352</v>
      </c>
      <c r="F14" s="40">
        <f t="shared" si="3"/>
        <v>528941.0974154576</v>
      </c>
      <c r="H14">
        <f t="shared" si="4"/>
        <v>5960.7393499999998</v>
      </c>
    </row>
    <row r="15" spans="1:8" x14ac:dyDescent="0.25">
      <c r="A15" s="5">
        <v>6.6800000000000006</v>
      </c>
      <c r="B15" s="5">
        <v>3355.84</v>
      </c>
      <c r="C15" s="35">
        <f t="shared" si="0"/>
        <v>4908.7896449535274</v>
      </c>
      <c r="D15" s="36">
        <f t="shared" si="1"/>
        <v>2411652.5997612863</v>
      </c>
      <c r="E15" s="37">
        <f t="shared" si="2"/>
        <v>2737.2301058996727</v>
      </c>
      <c r="F15" s="40">
        <f t="shared" si="3"/>
        <v>382678.20107881835</v>
      </c>
      <c r="H15">
        <f t="shared" si="4"/>
        <v>35502.977250000004</v>
      </c>
    </row>
    <row r="16" spans="1:8" x14ac:dyDescent="0.25">
      <c r="A16" s="5">
        <v>19.03</v>
      </c>
      <c r="B16" s="5">
        <v>2393.63</v>
      </c>
      <c r="C16" s="35">
        <f t="shared" si="0"/>
        <v>3690.204268848116</v>
      </c>
      <c r="D16" s="36">
        <f t="shared" si="1"/>
        <v>1681104.8346390263</v>
      </c>
      <c r="E16" s="37">
        <f t="shared" si="2"/>
        <v>1849.0166079758101</v>
      </c>
      <c r="F16" s="40">
        <f t="shared" si="3"/>
        <v>296603.74677209411</v>
      </c>
      <c r="H16">
        <f t="shared" si="4"/>
        <v>9084.4650000000001</v>
      </c>
    </row>
    <row r="17" spans="1:8" x14ac:dyDescent="0.25">
      <c r="A17" s="5">
        <v>23.53</v>
      </c>
      <c r="B17" s="5">
        <v>1643.91</v>
      </c>
      <c r="C17" s="35">
        <f t="shared" si="0"/>
        <v>3325.7983044278253</v>
      </c>
      <c r="D17" s="36">
        <f t="shared" si="1"/>
        <v>2828748.2685711049</v>
      </c>
      <c r="E17" s="37">
        <f t="shared" si="2"/>
        <v>1663.722068908231</v>
      </c>
      <c r="F17" s="40">
        <f t="shared" si="3"/>
        <v>392.51807442449001</v>
      </c>
      <c r="H17">
        <f t="shared" si="4"/>
        <v>4055.4461999999994</v>
      </c>
    </row>
    <row r="18" spans="1:8" x14ac:dyDescent="0.25">
      <c r="A18" s="5">
        <v>26.3</v>
      </c>
      <c r="B18" s="5">
        <v>1284.21</v>
      </c>
      <c r="C18" s="35">
        <f t="shared" si="0"/>
        <v>3119.613597435723</v>
      </c>
      <c r="D18" s="36">
        <f t="shared" si="1"/>
        <v>3368706.3654799936</v>
      </c>
      <c r="E18" s="37">
        <f t="shared" si="2"/>
        <v>1560.1218848788928</v>
      </c>
      <c r="F18" s="40">
        <f t="shared" si="3"/>
        <v>76127.368217423398</v>
      </c>
      <c r="H18">
        <f t="shared" si="4"/>
        <v>5440.7851999999984</v>
      </c>
    </row>
    <row r="19" spans="1:8" x14ac:dyDescent="0.25">
      <c r="A19" s="5">
        <v>31.18</v>
      </c>
      <c r="B19" s="5">
        <v>945.62</v>
      </c>
      <c r="C19" s="35">
        <f t="shared" si="0"/>
        <v>2786.9761916109956</v>
      </c>
      <c r="D19" s="36">
        <f t="shared" si="1"/>
        <v>3390592.6243841499</v>
      </c>
      <c r="E19" s="37">
        <f t="shared" si="2"/>
        <v>1393.5461610339983</v>
      </c>
      <c r="F19" s="40">
        <f t="shared" si="3"/>
        <v>200637.84573865533</v>
      </c>
      <c r="H19">
        <f t="shared" si="4"/>
        <v>7585.6532499999958</v>
      </c>
    </row>
    <row r="20" spans="1:8" x14ac:dyDescent="0.25">
      <c r="A20" s="5">
        <v>40.349999999999994</v>
      </c>
      <c r="B20" s="5">
        <v>708.83</v>
      </c>
      <c r="C20" s="35">
        <f t="shared" si="0"/>
        <v>2254.853981434082</v>
      </c>
      <c r="D20" s="36">
        <f t="shared" si="1"/>
        <v>2390190.1511692908</v>
      </c>
      <c r="E20" s="37">
        <f t="shared" si="2"/>
        <v>1127.4294100386769</v>
      </c>
      <c r="F20" s="40">
        <f t="shared" si="3"/>
        <v>175225.46608472834</v>
      </c>
      <c r="H20">
        <f t="shared" si="4"/>
        <v>3114.556500000002</v>
      </c>
    </row>
    <row r="21" spans="1:8" x14ac:dyDescent="0.25">
      <c r="A21" s="5">
        <v>45.41</v>
      </c>
      <c r="B21" s="5">
        <v>522.22</v>
      </c>
      <c r="C21" s="35">
        <f t="shared" si="0"/>
        <v>2006.0635984689877</v>
      </c>
      <c r="D21" s="36">
        <f t="shared" si="1"/>
        <v>2201791.8247173945</v>
      </c>
      <c r="E21" s="37">
        <f t="shared" si="2"/>
        <v>1003.0322181126569</v>
      </c>
      <c r="F21" s="40">
        <f t="shared" si="3"/>
        <v>231180.38908641311</v>
      </c>
      <c r="H21">
        <f t="shared" si="4"/>
        <v>2293.7204999999994</v>
      </c>
    </row>
    <row r="22" spans="1:8" x14ac:dyDescent="0.25">
      <c r="A22" s="5">
        <v>50.599999999999994</v>
      </c>
      <c r="B22" s="5">
        <v>361.68</v>
      </c>
      <c r="C22" s="35">
        <f t="shared" si="0"/>
        <v>1779.3709997422181</v>
      </c>
      <c r="D22" s="36">
        <f t="shared" si="1"/>
        <v>2009847.7707500898</v>
      </c>
      <c r="E22" s="37">
        <f t="shared" si="2"/>
        <v>889.68556920010042</v>
      </c>
      <c r="F22" s="40">
        <f t="shared" si="3"/>
        <v>278789.88110632199</v>
      </c>
      <c r="H22">
        <f t="shared" si="4"/>
        <v>1469.1724000000015</v>
      </c>
    </row>
    <row r="23" spans="1:8" x14ac:dyDescent="0.25">
      <c r="A23" s="5">
        <v>55.18</v>
      </c>
      <c r="B23" s="5">
        <v>279.88</v>
      </c>
      <c r="C23" s="35">
        <f t="shared" si="0"/>
        <v>1600.697483359726</v>
      </c>
      <c r="D23" s="36">
        <f t="shared" si="1"/>
        <v>1744558.8243487198</v>
      </c>
      <c r="E23" s="37">
        <f t="shared" si="2"/>
        <v>800.3487558559442</v>
      </c>
      <c r="F23" s="40">
        <f t="shared" si="3"/>
        <v>270887.72582223447</v>
      </c>
      <c r="H23">
        <f t="shared" si="4"/>
        <v>2226.0875000000015</v>
      </c>
    </row>
    <row r="24" spans="1:8" x14ac:dyDescent="0.25">
      <c r="A24" s="5">
        <v>64.680000000000007</v>
      </c>
      <c r="B24" s="5">
        <v>188.77</v>
      </c>
      <c r="C24" s="35">
        <f t="shared" si="0"/>
        <v>1285.2366363306453</v>
      </c>
      <c r="D24" s="36">
        <f t="shared" si="1"/>
        <v>1202239.0845862397</v>
      </c>
      <c r="E24" s="37">
        <f t="shared" si="2"/>
        <v>642.61831869214438</v>
      </c>
      <c r="F24" s="40">
        <f t="shared" si="3"/>
        <v>205978.29637968628</v>
      </c>
      <c r="H24">
        <f t="shared" si="4"/>
        <v>240.56374999999969</v>
      </c>
    </row>
    <row r="25" spans="1:8" x14ac:dyDescent="0.25">
      <c r="A25" s="5">
        <v>66.010000000000005</v>
      </c>
      <c r="B25" s="5">
        <v>172.98</v>
      </c>
      <c r="C25" s="35">
        <f t="shared" si="0"/>
        <v>1246.3425834641464</v>
      </c>
      <c r="D25" s="36">
        <f t="shared" si="1"/>
        <v>1152107.2355808266</v>
      </c>
      <c r="E25" s="37">
        <f t="shared" si="2"/>
        <v>623.17129206433367</v>
      </c>
      <c r="F25" s="40">
        <f t="shared" si="3"/>
        <v>202672.19945055415</v>
      </c>
      <c r="G25" t="s">
        <v>20</v>
      </c>
      <c r="H25" s="51">
        <f>1.44*$B$25*$D$5</f>
        <v>7472.7359999999999</v>
      </c>
    </row>
    <row r="28" spans="1:8" ht="15.75" thickBot="1" x14ac:dyDescent="0.3"/>
    <row r="29" spans="1:8" ht="31.5" thickTop="1" thickBot="1" x14ac:dyDescent="0.3">
      <c r="D29" s="34" t="s">
        <v>19</v>
      </c>
      <c r="F29" s="34" t="s">
        <v>19</v>
      </c>
    </row>
    <row r="30" spans="1:8" ht="15.75" thickTop="1" x14ac:dyDescent="0.25">
      <c r="D30" s="50">
        <f>SUM(D11:D25)</f>
        <v>26871597.187214296</v>
      </c>
      <c r="F30" s="50">
        <f>SUM(F11:F25)</f>
        <v>3411022.523109246</v>
      </c>
    </row>
    <row r="32" spans="1:8" x14ac:dyDescent="0.25">
      <c r="C32" s="7" t="s">
        <v>18</v>
      </c>
      <c r="E32" s="6" t="s">
        <v>17</v>
      </c>
      <c r="H32" s="4" t="s">
        <v>16</v>
      </c>
    </row>
    <row r="33" spans="1:17" x14ac:dyDescent="0.25">
      <c r="C33" s="3">
        <f>1.443*D5*C5</f>
        <v>247965.55290000001</v>
      </c>
      <c r="E33" s="3">
        <f>(($E$5*$F$7)/(LN(2)/$F$5))+(($E$5*(1-$F$7))/(LN(2)/($E$7)))</f>
        <v>132220.34593859827</v>
      </c>
      <c r="H33" s="3">
        <f>SUM(H11:H25)</f>
        <v>107780.30255000002</v>
      </c>
    </row>
    <row r="35" spans="1:17" x14ac:dyDescent="0.25">
      <c r="A35" s="27" t="s">
        <v>47</v>
      </c>
      <c r="B35" s="52">
        <v>50</v>
      </c>
      <c r="C35" s="27" t="s">
        <v>52</v>
      </c>
      <c r="D35" s="27">
        <f>0.000134*(B35^(-0.921))</f>
        <v>3.6505090073920176E-6</v>
      </c>
      <c r="Q35" s="24" t="b">
        <f>$F$7&gt;=0</f>
        <v>1</v>
      </c>
    </row>
    <row r="36" spans="1:17" x14ac:dyDescent="0.25">
      <c r="Q36" s="24">
        <f>{32767,32767,0.000001,0.01,FALSE,FALSE,FALSE,1,2,1,0.0001,TRUE}</f>
        <v>32767</v>
      </c>
    </row>
    <row r="37" spans="1:17" x14ac:dyDescent="0.25">
      <c r="C37" s="28" t="s">
        <v>49</v>
      </c>
      <c r="E37" s="30" t="s">
        <v>48</v>
      </c>
      <c r="F37" s="29"/>
      <c r="G37" s="29"/>
      <c r="H37" s="31" t="s">
        <v>50</v>
      </c>
      <c r="Q37" s="24">
        <f>{0,0,1,100,0,FALSE,FALSE,0.075,0,0,FALSE,30}</f>
        <v>0</v>
      </c>
    </row>
    <row r="38" spans="1:17" x14ac:dyDescent="0.25">
      <c r="C38" s="26">
        <f>C33*D35</f>
        <v>0.90520048438439182</v>
      </c>
      <c r="E38" s="25">
        <f>E33*D35</f>
        <v>0.48267156380934156</v>
      </c>
      <c r="H38" s="25">
        <f>H33*D35</f>
        <v>0.39345296527821194</v>
      </c>
    </row>
  </sheetData>
  <mergeCells count="6">
    <mergeCell ref="A2:C2"/>
    <mergeCell ref="C3:D3"/>
    <mergeCell ref="E3:F3"/>
    <mergeCell ref="A9:B9"/>
    <mergeCell ref="C9:D9"/>
    <mergeCell ref="E9:F9"/>
  </mergeCells>
  <phoneticPr fontId="9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27"/>
  <sheetViews>
    <sheetView workbookViewId="0">
      <selection activeCell="A24" sqref="A24:H27"/>
    </sheetView>
  </sheetViews>
  <sheetFormatPr defaultRowHeight="15" x14ac:dyDescent="0.25"/>
  <cols>
    <col min="2" max="2" width="12.7109375" customWidth="1"/>
    <col min="3" max="3" width="20.42578125" customWidth="1"/>
    <col min="4" max="4" width="20" customWidth="1"/>
    <col min="5" max="5" width="25.28515625" customWidth="1"/>
    <col min="6" max="6" width="23.28515625" customWidth="1"/>
    <col min="7" max="7" width="12.42578125" customWidth="1"/>
    <col min="8" max="8" width="20.5703125" customWidth="1"/>
  </cols>
  <sheetData>
    <row r="1" spans="1:8" x14ac:dyDescent="0.25">
      <c r="A1" s="29" t="s">
        <v>65</v>
      </c>
    </row>
    <row r="2" spans="1:8" x14ac:dyDescent="0.25">
      <c r="A2" s="65" t="s">
        <v>22</v>
      </c>
      <c r="B2" s="65"/>
      <c r="C2" s="65"/>
      <c r="H2" s="8" t="s">
        <v>21</v>
      </c>
    </row>
    <row r="3" spans="1:8" ht="15.75" thickBot="1" x14ac:dyDescent="0.3">
      <c r="C3" s="72" t="s">
        <v>6</v>
      </c>
      <c r="D3" s="72"/>
      <c r="E3" s="73" t="s">
        <v>10</v>
      </c>
      <c r="F3" s="73"/>
      <c r="H3">
        <v>192.5</v>
      </c>
    </row>
    <row r="4" spans="1:8" ht="16.5" thickTop="1" thickBot="1" x14ac:dyDescent="0.3">
      <c r="C4" s="1" t="s">
        <v>7</v>
      </c>
      <c r="D4" s="1" t="s">
        <v>8</v>
      </c>
      <c r="E4" s="1" t="s">
        <v>7</v>
      </c>
      <c r="F4" s="1" t="s">
        <v>11</v>
      </c>
    </row>
    <row r="5" spans="1:8" ht="16.5" thickTop="1" thickBot="1" x14ac:dyDescent="0.3">
      <c r="C5">
        <f>B11</f>
        <v>5728.01</v>
      </c>
      <c r="D5" s="33">
        <v>30</v>
      </c>
      <c r="E5">
        <f>B11</f>
        <v>5728.01</v>
      </c>
      <c r="F5" s="22">
        <v>2</v>
      </c>
    </row>
    <row r="6" spans="1:8" ht="16.5" thickTop="1" thickBot="1" x14ac:dyDescent="0.3">
      <c r="E6" s="1" t="s">
        <v>12</v>
      </c>
      <c r="F6" s="1" t="s">
        <v>13</v>
      </c>
    </row>
    <row r="7" spans="1:8" ht="15.75" thickTop="1" x14ac:dyDescent="0.25">
      <c r="E7" s="22">
        <v>30</v>
      </c>
      <c r="F7" s="22">
        <v>0.5</v>
      </c>
    </row>
    <row r="9" spans="1:8" ht="15.75" thickBot="1" x14ac:dyDescent="0.3">
      <c r="A9" s="66" t="s">
        <v>4</v>
      </c>
      <c r="B9" s="67"/>
      <c r="C9" s="68" t="s">
        <v>9</v>
      </c>
      <c r="D9" s="69"/>
      <c r="E9" s="70" t="s">
        <v>14</v>
      </c>
      <c r="F9" s="71"/>
      <c r="H9" s="4" t="s">
        <v>5</v>
      </c>
    </row>
    <row r="10" spans="1:8" ht="31.5" thickTop="1" thickBot="1" x14ac:dyDescent="0.3">
      <c r="A10" s="1" t="s">
        <v>0</v>
      </c>
      <c r="B10" s="2" t="s">
        <v>1</v>
      </c>
      <c r="C10" s="2" t="s">
        <v>2</v>
      </c>
      <c r="D10" s="2" t="s">
        <v>3</v>
      </c>
      <c r="E10" s="19" t="s">
        <v>2</v>
      </c>
      <c r="F10" s="19" t="s">
        <v>3</v>
      </c>
      <c r="H10" s="1" t="s">
        <v>15</v>
      </c>
    </row>
    <row r="11" spans="1:8" ht="15.75" thickTop="1" x14ac:dyDescent="0.25">
      <c r="A11">
        <v>0.02</v>
      </c>
      <c r="B11">
        <v>5728.01</v>
      </c>
      <c r="C11" s="35">
        <f>$C$5*EXP((-1)*(LN(2)/$D$5)*($A11-$A$11))</f>
        <v>5728.01</v>
      </c>
      <c r="D11" s="36">
        <f>(B11-C11)^2</f>
        <v>0</v>
      </c>
      <c r="E11" s="37">
        <f>$E$5*(($F$7)*(EXP((-1)*(LN(2)/$F$5)*($A11-$A$11)))+((1-$F$7)*(EXP((-1)*(LN(2)/$E$7)*($A11-$A$11)))))</f>
        <v>5728.01</v>
      </c>
      <c r="F11" s="39">
        <f>(B11-E11)^2</f>
        <v>0</v>
      </c>
      <c r="H11">
        <f>0.5*($B11+$B12)*($A12-$A11)</f>
        <v>86730.638800000001</v>
      </c>
    </row>
    <row r="12" spans="1:8" x14ac:dyDescent="0.25">
      <c r="A12">
        <v>23.55</v>
      </c>
      <c r="B12">
        <v>1643.91</v>
      </c>
      <c r="C12" s="35">
        <f>$C$5*EXP((-1)*(LN(2)/$D$5)*($A12-$A$11))</f>
        <v>3325.7983044278253</v>
      </c>
      <c r="D12" s="36">
        <f>(B12-C12)^2</f>
        <v>2828748.2685711049</v>
      </c>
      <c r="E12" s="37">
        <f>$E$5*(($F$7)*(EXP((-1)*(LN(2)/$F$5)*($A12-$A$11)))+((1-$F$7)*(EXP((-1)*(LN(2)/$E$7)*($A12-$A$11)))))</f>
        <v>1663.722068908231</v>
      </c>
      <c r="F12" s="39">
        <f>(B12-E12)^2</f>
        <v>392.51807442449001</v>
      </c>
      <c r="H12">
        <f>0.5*($B12+$B13)*($A13-$A12)</f>
        <v>27145.660649999998</v>
      </c>
    </row>
    <row r="13" spans="1:8" x14ac:dyDescent="0.25">
      <c r="A13">
        <v>50.62</v>
      </c>
      <c r="B13">
        <v>361.68</v>
      </c>
      <c r="C13" s="35">
        <f>$C$5*EXP((-1)*(LN(2)/$D$5)*($A13-$A$11))</f>
        <v>1779.3709997422181</v>
      </c>
      <c r="D13" s="36">
        <f>(B13-C13)^2</f>
        <v>2009847.7707500898</v>
      </c>
      <c r="E13" s="37">
        <f>$E$5*(($F$7)*(EXP((-1)*(LN(2)/$F$5)*($A13-$A$11)))+((1-$F$7)*(EXP((-1)*(LN(2)/$E$7)*($A13-$A$11)))))</f>
        <v>889.68556920010042</v>
      </c>
      <c r="F13" s="39">
        <f>(B13-E13)^2</f>
        <v>278789.88110632199</v>
      </c>
      <c r="G13" t="s">
        <v>20</v>
      </c>
      <c r="H13" s="63">
        <f>1.44*$B$13*$D$5</f>
        <v>15624.576000000001</v>
      </c>
    </row>
    <row r="17" spans="1:17" ht="15.75" thickBot="1" x14ac:dyDescent="0.3"/>
    <row r="18" spans="1:17" ht="31.5" thickTop="1" thickBot="1" x14ac:dyDescent="0.3">
      <c r="D18" s="34" t="s">
        <v>19</v>
      </c>
      <c r="F18" s="34" t="s">
        <v>19</v>
      </c>
    </row>
    <row r="19" spans="1:17" ht="15.75" thickTop="1" x14ac:dyDescent="0.25">
      <c r="D19" s="50">
        <f>SUM(D11:D13)</f>
        <v>4838596.0393211944</v>
      </c>
      <c r="F19" s="50">
        <f>SUM(F11:F13)</f>
        <v>279182.39918074646</v>
      </c>
    </row>
    <row r="21" spans="1:17" x14ac:dyDescent="0.25">
      <c r="C21" s="7" t="s">
        <v>18</v>
      </c>
      <c r="E21" s="6" t="s">
        <v>17</v>
      </c>
      <c r="H21" s="4" t="s">
        <v>16</v>
      </c>
    </row>
    <row r="22" spans="1:17" x14ac:dyDescent="0.25">
      <c r="C22" s="3">
        <f>1.443*D5*C5</f>
        <v>247965.55290000001</v>
      </c>
      <c r="E22" s="3">
        <f>(($E$5*$F$7)/(LN(2)/$F$5))+(($E$5*(1-$F$7))/(LN(2)/($E$7)))</f>
        <v>132220.34593859827</v>
      </c>
      <c r="H22" s="3">
        <f>SUM(H11:H13)</f>
        <v>129500.87544999999</v>
      </c>
    </row>
    <row r="24" spans="1:17" x14ac:dyDescent="0.25">
      <c r="A24" s="27" t="s">
        <v>47</v>
      </c>
      <c r="B24" s="52">
        <v>80</v>
      </c>
      <c r="C24" s="27" t="s">
        <v>52</v>
      </c>
      <c r="D24" s="27">
        <f>0.000134*(B24^(-0.921))</f>
        <v>2.3678758073270261E-6</v>
      </c>
      <c r="Q24" s="24" t="b">
        <f>$F$7&gt;=0</f>
        <v>1</v>
      </c>
    </row>
    <row r="25" spans="1:17" x14ac:dyDescent="0.25">
      <c r="Q25" s="24">
        <f>{32767,32767,0.000001,0.01,FALSE,FALSE,FALSE,1,2,1,0.0001,TRUE}</f>
        <v>32767</v>
      </c>
    </row>
    <row r="26" spans="1:17" x14ac:dyDescent="0.25">
      <c r="C26" s="28" t="s">
        <v>49</v>
      </c>
      <c r="E26" s="30" t="s">
        <v>48</v>
      </c>
      <c r="F26" s="29"/>
      <c r="G26" s="29"/>
      <c r="H26" s="31" t="s">
        <v>50</v>
      </c>
      <c r="Q26" s="24">
        <f>{0,0,1,100,0,FALSE,FALSE,0.075,0,0,FALSE,30}</f>
        <v>0</v>
      </c>
    </row>
    <row r="27" spans="1:17" x14ac:dyDescent="0.25">
      <c r="C27" s="26">
        <f>C22*D24</f>
        <v>0.58715163376237989</v>
      </c>
      <c r="E27" s="25">
        <f>E22*D24</f>
        <v>0.31308135838441709</v>
      </c>
      <c r="H27" s="25">
        <f>H22*D24</f>
        <v>0.3066419900057254</v>
      </c>
    </row>
  </sheetData>
  <mergeCells count="6">
    <mergeCell ref="A2:C2"/>
    <mergeCell ref="C3:D3"/>
    <mergeCell ref="E3:F3"/>
    <mergeCell ref="A9:B9"/>
    <mergeCell ref="C9:D9"/>
    <mergeCell ref="E9:F9"/>
  </mergeCells>
  <phoneticPr fontId="9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4"/>
  <sheetViews>
    <sheetView workbookViewId="0"/>
  </sheetViews>
  <sheetFormatPr defaultRowHeight="15" x14ac:dyDescent="0.25"/>
  <cols>
    <col min="2" max="2" width="17.42578125" customWidth="1"/>
    <col min="3" max="3" width="25.5703125" customWidth="1"/>
    <col min="4" max="4" width="13.5703125" customWidth="1"/>
    <col min="5" max="5" width="19.42578125" customWidth="1"/>
    <col min="6" max="6" width="29.140625" customWidth="1"/>
  </cols>
  <sheetData>
    <row r="1" spans="1:6" x14ac:dyDescent="0.25">
      <c r="A1" s="29" t="s">
        <v>65</v>
      </c>
    </row>
    <row r="4" spans="1:6" ht="15.75" thickBot="1" x14ac:dyDescent="0.3">
      <c r="B4" s="72" t="s">
        <v>38</v>
      </c>
      <c r="C4" s="72"/>
      <c r="E4" s="74" t="s">
        <v>37</v>
      </c>
      <c r="F4" s="74"/>
    </row>
    <row r="5" spans="1:6" ht="16.5" thickTop="1" thickBot="1" x14ac:dyDescent="0.3">
      <c r="B5" s="1" t="s">
        <v>7</v>
      </c>
      <c r="C5" s="1" t="s">
        <v>36</v>
      </c>
      <c r="E5" s="13" t="s">
        <v>7</v>
      </c>
      <c r="F5" s="13" t="s">
        <v>35</v>
      </c>
    </row>
    <row r="6" spans="1:6" ht="15.75" thickTop="1" x14ac:dyDescent="0.25">
      <c r="B6">
        <f>A12</f>
        <v>0</v>
      </c>
      <c r="C6" s="11">
        <f>'Case 3 - full '!D5</f>
        <v>30</v>
      </c>
      <c r="E6" s="12">
        <f>D12</f>
        <v>0</v>
      </c>
      <c r="F6" s="11">
        <f>'Case 3 - 24 hour'!D5</f>
        <v>30</v>
      </c>
    </row>
    <row r="10" spans="1:6" x14ac:dyDescent="0.25">
      <c r="C10" s="7" t="s">
        <v>34</v>
      </c>
      <c r="F10" s="15" t="s">
        <v>33</v>
      </c>
    </row>
    <row r="11" spans="1:6" x14ac:dyDescent="0.25">
      <c r="C11" s="9">
        <f>'Case 3 - full '!C33</f>
        <v>247965.55290000001</v>
      </c>
      <c r="F11" s="9">
        <f>'Case 3 - 24 hour'!C22</f>
        <v>247965.55290000001</v>
      </c>
    </row>
    <row r="21" spans="2:5" ht="15.75" thickBot="1" x14ac:dyDescent="0.3">
      <c r="B21" s="75" t="s">
        <v>32</v>
      </c>
      <c r="C21" s="75"/>
      <c r="D21" s="75"/>
      <c r="E21" s="75"/>
    </row>
    <row r="22" spans="2:5" ht="16.5" thickTop="1" thickBot="1" x14ac:dyDescent="0.3">
      <c r="B22" s="13" t="s">
        <v>7</v>
      </c>
      <c r="C22" s="13" t="s">
        <v>31</v>
      </c>
      <c r="D22" s="13" t="s">
        <v>30</v>
      </c>
      <c r="E22" s="14" t="s">
        <v>29</v>
      </c>
    </row>
    <row r="23" spans="2:5" ht="15.75" thickTop="1" x14ac:dyDescent="0.25">
      <c r="B23" s="12">
        <f>'Case 1 - full'!E5</f>
        <v>5495.91</v>
      </c>
      <c r="C23" s="11">
        <f>'Case 3 - full '!F5</f>
        <v>2</v>
      </c>
      <c r="D23" s="11">
        <f>'Case 3 - full '!E7</f>
        <v>30</v>
      </c>
      <c r="E23" s="11">
        <f>'Case 3 - full '!F7</f>
        <v>0.5</v>
      </c>
    </row>
    <row r="25" spans="2:5" ht="15.75" thickBot="1" x14ac:dyDescent="0.3">
      <c r="B25" s="75" t="s">
        <v>28</v>
      </c>
      <c r="C25" s="75"/>
      <c r="D25" s="75"/>
      <c r="E25" s="75"/>
    </row>
    <row r="26" spans="2:5" ht="16.5" thickTop="1" thickBot="1" x14ac:dyDescent="0.3">
      <c r="B26" s="13" t="s">
        <v>7</v>
      </c>
      <c r="C26" s="13" t="s">
        <v>27</v>
      </c>
      <c r="D26" s="13" t="s">
        <v>26</v>
      </c>
      <c r="E26" s="13" t="s">
        <v>25</v>
      </c>
    </row>
    <row r="27" spans="2:5" ht="15.75" thickTop="1" x14ac:dyDescent="0.25">
      <c r="B27" s="12">
        <f>'Case 1 - 24 hour sampling'!E5</f>
        <v>5495.91</v>
      </c>
      <c r="C27" s="11">
        <f>'Case 3 - 24 hour'!F5</f>
        <v>2</v>
      </c>
      <c r="D27" s="11">
        <f>'Case 3 - 24 hour'!E7</f>
        <v>30</v>
      </c>
      <c r="E27" s="11">
        <f>'Case 3 - 24 hour'!F7</f>
        <v>0.5</v>
      </c>
    </row>
    <row r="33" spans="2:4" ht="30" x14ac:dyDescent="0.25">
      <c r="B33" s="6" t="s">
        <v>24</v>
      </c>
      <c r="D33" s="10" t="s">
        <v>23</v>
      </c>
    </row>
    <row r="34" spans="2:4" x14ac:dyDescent="0.25">
      <c r="B34" s="9">
        <f>'Case 3 - full '!E33</f>
        <v>132220.34593859827</v>
      </c>
      <c r="D34" s="9">
        <f>'Case 3 - 24 hour'!E22</f>
        <v>132220.34593859827</v>
      </c>
    </row>
  </sheetData>
  <mergeCells count="4">
    <mergeCell ref="B4:C4"/>
    <mergeCell ref="E4:F4"/>
    <mergeCell ref="B21:E21"/>
    <mergeCell ref="B25:E25"/>
  </mergeCells>
  <phoneticPr fontId="9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Case 1 - full</vt:lpstr>
      <vt:lpstr>Case 1 - 24 hour sampling</vt:lpstr>
      <vt:lpstr>Case 1 - Fit Comparsions</vt:lpstr>
      <vt:lpstr>Case 2 - full </vt:lpstr>
      <vt:lpstr>Case 2 - 24 hours</vt:lpstr>
      <vt:lpstr>Case 2 - Fit Comparsions</vt:lpstr>
      <vt:lpstr>Case 3 - full </vt:lpstr>
      <vt:lpstr>Case 3 - 24 hour</vt:lpstr>
      <vt:lpstr>Case 3 - Fit Comparsions</vt:lpstr>
      <vt:lpstr>Case 4 - full  </vt:lpstr>
      <vt:lpstr>Case 4 - Peak removed</vt:lpstr>
      <vt:lpstr>Case 4 - Fit Comparsions </vt:lpstr>
      <vt:lpstr>Case 5 - Isotope Change </vt:lpstr>
    </vt:vector>
  </TitlesOfParts>
  <Company>The Christie NHS Foundation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Page Emma (RBV) NHS Christie Tr</dc:creator>
  <cp:lastModifiedBy>Bruno Rojas</cp:lastModifiedBy>
  <cp:lastPrinted>2015-04-20T05:24:34Z</cp:lastPrinted>
  <dcterms:created xsi:type="dcterms:W3CDTF">2015-04-13T16:04:20Z</dcterms:created>
  <dcterms:modified xsi:type="dcterms:W3CDTF">2024-04-18T10:14:08Z</dcterms:modified>
</cp:coreProperties>
</file>